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'Sheet1'!$A$1:$AI$26</definedName>
  </definedNames>
  <calcPr fullCalcOnLoad="1"/>
</workbook>
</file>

<file path=xl/sharedStrings.xml><?xml version="1.0" encoding="utf-8"?>
<sst xmlns="http://schemas.openxmlformats.org/spreadsheetml/2006/main" count="138" uniqueCount="67">
  <si>
    <t>پتروشيمي خارك</t>
  </si>
  <si>
    <t xml:space="preserve"> درآمد ارزي </t>
  </si>
  <si>
    <t>نرخ تسعير</t>
  </si>
  <si>
    <t>واحد ارز</t>
  </si>
  <si>
    <t>يورو</t>
  </si>
  <si>
    <t>واحد مقدار مصرف</t>
  </si>
  <si>
    <t>ميليون فوت مكعب</t>
  </si>
  <si>
    <t>واحد</t>
  </si>
  <si>
    <t>تن</t>
  </si>
  <si>
    <t>مقدار فروش</t>
  </si>
  <si>
    <t>محصول اصلي</t>
  </si>
  <si>
    <t>متانول</t>
  </si>
  <si>
    <t>سود هر سهم</t>
  </si>
  <si>
    <t>شش ماهه</t>
  </si>
  <si>
    <t>پتروشيمي زاگرس</t>
  </si>
  <si>
    <t>دلار</t>
  </si>
  <si>
    <t>پتروشيمي فناوران</t>
  </si>
  <si>
    <t xml:space="preserve"> پيش بيني91/12/30</t>
  </si>
  <si>
    <t>پتروشيمي پرديس</t>
  </si>
  <si>
    <t>پتروشيمي شيراز</t>
  </si>
  <si>
    <t>پتروشيمي مارون</t>
  </si>
  <si>
    <t>پتروشيمي كرمانشاه</t>
  </si>
  <si>
    <t xml:space="preserve"> پيش بيني91/09/30</t>
  </si>
  <si>
    <t>نه ماهه</t>
  </si>
  <si>
    <t>اوره</t>
  </si>
  <si>
    <t>ميليون متر مكعب</t>
  </si>
  <si>
    <t xml:space="preserve"> مقدار خوراك مصرفي</t>
  </si>
  <si>
    <t>نوع خوراك مصرفي</t>
  </si>
  <si>
    <t>گاز ترش</t>
  </si>
  <si>
    <t>گاز طبيعي</t>
  </si>
  <si>
    <t>پلي اتيلن سنگين</t>
  </si>
  <si>
    <t>درصد پوشش</t>
  </si>
  <si>
    <t>درهم</t>
  </si>
  <si>
    <t>شركتهاي پتروشيمي</t>
  </si>
  <si>
    <t>گزارش</t>
  </si>
  <si>
    <t>تبديل تمام واحدها به ميليون متر مكعب</t>
  </si>
  <si>
    <t xml:space="preserve">  NM3 </t>
  </si>
  <si>
    <t xml:space="preserve">  NM3</t>
  </si>
  <si>
    <t xml:space="preserve"> متر مكعب</t>
  </si>
  <si>
    <t xml:space="preserve"> تن</t>
  </si>
  <si>
    <t xml:space="preserve">NM3 </t>
  </si>
  <si>
    <t xml:space="preserve"> NM3 </t>
  </si>
  <si>
    <t>گزارش تاثير افزايش نرخ خوراك بر عايدي هر سهم</t>
  </si>
  <si>
    <t>نرخ فروش هر واحد محصول اصلي (م . ر)</t>
  </si>
  <si>
    <t>درآمد فروش محصول اصلي(م . ر)</t>
  </si>
  <si>
    <t>درآمد ناشي از صادرات (م. ر)</t>
  </si>
  <si>
    <t>درآمد كل فروش (م. ر)</t>
  </si>
  <si>
    <t>هزينه گاز مصرفي  (م. ر)</t>
  </si>
  <si>
    <t>بهاي تمام شده كالاي فروش رفته  (م. ر)</t>
  </si>
  <si>
    <t>سود عملياتي  (م. ر)</t>
  </si>
  <si>
    <t>سرمايه  (م. ر)</t>
  </si>
  <si>
    <t>تاثير منفي افزايش نرخ خوراك بر سود هر سهم (با ثابت ماندن ساير شرايط)(ريال)</t>
  </si>
  <si>
    <t>سود خالص(م. ر)</t>
  </si>
  <si>
    <t xml:space="preserve"> نرخ خوراك مصرفي (هر متر مكعب به واحد سنت)</t>
  </si>
  <si>
    <t>افزايش هزينه خوراك نسبت به پيش بيني شركت (م. ر)</t>
  </si>
  <si>
    <t xml:space="preserve"> نرخ هر متر مكعب خوراك مصرفي  (ريال) </t>
  </si>
  <si>
    <t>نرخ هر متر مكعب خوراك بر اساس نرخ ارز مبادله اي  (ريال)*</t>
  </si>
  <si>
    <t>پيش بيني هزينه خوراك (بر اساس هزينه تحقق يافته  بعلاوه حاصلضرب درصد تحقق نيافته آحاد بودجه در نرخ گاز بر اساس ارز مبادله اي (م. ر)</t>
  </si>
  <si>
    <t>اثر افزاينده تسعير ارز به نرخ مبادلاتي بر درآمد فروش با ثابت ماندن ساير شرايط    (م . ر)</t>
  </si>
  <si>
    <t>اثر افزاينده تسعير به نرخ مبادلاتي بر عايدي هر سهم با ثابت ماندن ساير شرايط (ريال)</t>
  </si>
  <si>
    <t>برآيند تاثيرات كاهنده و افزاينده  بر عايدي هر سهم (ريال)</t>
  </si>
  <si>
    <t>درصد تعديل EPS</t>
  </si>
  <si>
    <t>*27,777.78</t>
  </si>
  <si>
    <t>توضيح * شايان ذكر است كه نرخ خوراك جديد  براي كليه شركتهاي پتروشيمي حاصلضرب 7 سنت (نرخ تقريبي 65 درصد فوب خليج فارس)در نرخ ارز مبادله اي در نظر گرفته شده  است</t>
  </si>
  <si>
    <t>P/E فعلي</t>
  </si>
  <si>
    <t>P/E بر اساس عايدي برآوردي</t>
  </si>
  <si>
    <t>قيمت فعلي سهم (پاياني 10 دي 91)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</si>
</sst>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  <numFmt numFmtId="166" formatCode="_-* #,##0.000_-;_-* #,##0.000\-;_-* &quot;-&quot;??_-;_-@_-"/>
    <numFmt numFmtId="167" formatCode="_-* #,##0.0000_-;_-* #,##0.0000\-;_-* &quot;-&quot;??_-;_-@_-"/>
    <numFmt numFmtId="168" formatCode="_-* #,##0.0_-;_-* #,##0.0\-;_-* &quot;-&quot;?_-;_-@_-"/>
    <numFmt numFmtId="169" formatCode="_-* #,##0.00000_-;_-* #,##0.00000\-;_-* &quot;-&quot;??_-;_-@_-"/>
    <numFmt numFmtId="170" formatCode="_-* #,##0.000000_-;_-* #,##0.000000\-;_-* &quot;-&quot;??_-;_-@_-"/>
    <numFmt numFmtId="171" formatCode="_-* #,##0.0000000_-;_-* #,##0.0000000\-;_-* &quot;-&quot;??_-;_-@_-"/>
    <numFmt numFmtId="172" formatCode="_-* #,##0.00000000_-;_-* #,##0.00000000\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 Mitra"/>
      <family val="0"/>
    </font>
    <font>
      <b/>
      <sz val="18"/>
      <name val="B Mitr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Mitra"/>
      <family val="0"/>
    </font>
    <font>
      <b/>
      <sz val="11"/>
      <color indexed="8"/>
      <name val="B Mitra"/>
      <family val="0"/>
    </font>
    <font>
      <sz val="10"/>
      <color indexed="8"/>
      <name val="B Mitra"/>
      <family val="0"/>
    </font>
    <font>
      <sz val="9"/>
      <color indexed="8"/>
      <name val="B Mitra"/>
      <family val="0"/>
    </font>
    <font>
      <b/>
      <sz val="12"/>
      <color indexed="8"/>
      <name val="B Mitra"/>
      <family val="0"/>
    </font>
    <font>
      <b/>
      <sz val="14"/>
      <color indexed="8"/>
      <name val="B Mitra"/>
      <family val="0"/>
    </font>
    <font>
      <sz val="12"/>
      <color indexed="8"/>
      <name val="B Mitra"/>
      <family val="0"/>
    </font>
    <font>
      <b/>
      <sz val="18"/>
      <color indexed="8"/>
      <name val="B Mitra"/>
      <family val="0"/>
    </font>
    <font>
      <b/>
      <sz val="16"/>
      <color indexed="8"/>
      <name val="B Mitra"/>
      <family val="0"/>
    </font>
    <font>
      <b/>
      <sz val="20"/>
      <color indexed="8"/>
      <name val="B Mitr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Mitra"/>
      <family val="0"/>
    </font>
    <font>
      <b/>
      <sz val="11"/>
      <color theme="1"/>
      <name val="B Mitra"/>
      <family val="0"/>
    </font>
    <font>
      <sz val="10"/>
      <color theme="1"/>
      <name val="B Mitra"/>
      <family val="0"/>
    </font>
    <font>
      <sz val="9"/>
      <color theme="1"/>
      <name val="B Mitra"/>
      <family val="0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sz val="12"/>
      <color theme="1"/>
      <name val="B Mitra"/>
      <family val="0"/>
    </font>
    <font>
      <b/>
      <sz val="18"/>
      <color theme="1"/>
      <name val="B Mitra"/>
      <family val="0"/>
    </font>
    <font>
      <b/>
      <sz val="20"/>
      <color theme="1"/>
      <name val="B Mitra"/>
      <family val="0"/>
    </font>
    <font>
      <b/>
      <sz val="16"/>
      <color theme="1"/>
      <name val="B Mitr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165" fontId="46" fillId="0" borderId="0" xfId="42" applyNumberFormat="1" applyFont="1" applyAlignment="1">
      <alignment horizontal="center" vertical="center" wrapText="1"/>
    </xf>
    <xf numFmtId="165" fontId="46" fillId="5" borderId="10" xfId="42" applyNumberFormat="1" applyFont="1" applyFill="1" applyBorder="1" applyAlignment="1">
      <alignment horizontal="center" vertical="center" wrapText="1"/>
    </xf>
    <xf numFmtId="43" fontId="46" fillId="5" borderId="10" xfId="42" applyFont="1" applyFill="1" applyBorder="1" applyAlignment="1">
      <alignment horizontal="center" vertical="center" wrapText="1"/>
    </xf>
    <xf numFmtId="165" fontId="46" fillId="13" borderId="10" xfId="42" applyNumberFormat="1" applyFont="1" applyFill="1" applyBorder="1" applyAlignment="1">
      <alignment horizontal="center" vertical="center" wrapText="1"/>
    </xf>
    <xf numFmtId="43" fontId="46" fillId="13" borderId="10" xfId="42" applyFont="1" applyFill="1" applyBorder="1" applyAlignment="1">
      <alignment horizontal="center" vertical="center" wrapText="1"/>
    </xf>
    <xf numFmtId="165" fontId="46" fillId="10" borderId="10" xfId="42" applyNumberFormat="1" applyFont="1" applyFill="1" applyBorder="1" applyAlignment="1">
      <alignment horizontal="center" vertical="center" wrapText="1"/>
    </xf>
    <xf numFmtId="43" fontId="46" fillId="10" borderId="10" xfId="42" applyFont="1" applyFill="1" applyBorder="1" applyAlignment="1">
      <alignment horizontal="center" vertical="center" wrapText="1"/>
    </xf>
    <xf numFmtId="165" fontId="46" fillId="9" borderId="10" xfId="42" applyNumberFormat="1" applyFont="1" applyFill="1" applyBorder="1" applyAlignment="1">
      <alignment horizontal="center" vertical="center" wrapText="1"/>
    </xf>
    <xf numFmtId="43" fontId="46" fillId="9" borderId="10" xfId="42" applyFont="1" applyFill="1" applyBorder="1" applyAlignment="1">
      <alignment horizontal="center" vertical="center" wrapText="1"/>
    </xf>
    <xf numFmtId="165" fontId="46" fillId="33" borderId="10" xfId="42" applyNumberFormat="1" applyFont="1" applyFill="1" applyBorder="1" applyAlignment="1">
      <alignment horizontal="center" vertical="center" wrapText="1"/>
    </xf>
    <xf numFmtId="43" fontId="46" fillId="33" borderId="10" xfId="42" applyFont="1" applyFill="1" applyBorder="1" applyAlignment="1">
      <alignment horizontal="center" vertical="center" wrapText="1"/>
    </xf>
    <xf numFmtId="165" fontId="46" fillId="6" borderId="10" xfId="42" applyNumberFormat="1" applyFont="1" applyFill="1" applyBorder="1" applyAlignment="1">
      <alignment horizontal="center" vertical="center" wrapText="1"/>
    </xf>
    <xf numFmtId="43" fontId="46" fillId="6" borderId="10" xfId="42" applyFont="1" applyFill="1" applyBorder="1" applyAlignment="1">
      <alignment horizontal="center" vertical="center" wrapText="1"/>
    </xf>
    <xf numFmtId="165" fontId="47" fillId="0" borderId="0" xfId="42" applyNumberFormat="1" applyFont="1" applyAlignment="1">
      <alignment horizontal="center" vertical="center" wrapText="1"/>
    </xf>
    <xf numFmtId="165" fontId="46" fillId="5" borderId="11" xfId="42" applyNumberFormat="1" applyFont="1" applyFill="1" applyBorder="1" applyAlignment="1">
      <alignment horizontal="center" vertical="center" wrapText="1"/>
    </xf>
    <xf numFmtId="43" fontId="46" fillId="5" borderId="11" xfId="42" applyFont="1" applyFill="1" applyBorder="1" applyAlignment="1">
      <alignment horizontal="center" vertical="center" wrapText="1"/>
    </xf>
    <xf numFmtId="165" fontId="46" fillId="5" borderId="12" xfId="42" applyNumberFormat="1" applyFont="1" applyFill="1" applyBorder="1" applyAlignment="1">
      <alignment horizontal="center" vertical="center" wrapText="1"/>
    </xf>
    <xf numFmtId="165" fontId="46" fillId="13" borderId="11" xfId="42" applyNumberFormat="1" applyFont="1" applyFill="1" applyBorder="1" applyAlignment="1">
      <alignment horizontal="center" vertical="center" wrapText="1"/>
    </xf>
    <xf numFmtId="43" fontId="46" fillId="13" borderId="11" xfId="42" applyFont="1" applyFill="1" applyBorder="1" applyAlignment="1">
      <alignment horizontal="center" vertical="center" wrapText="1"/>
    </xf>
    <xf numFmtId="165" fontId="46" fillId="13" borderId="12" xfId="42" applyNumberFormat="1" applyFont="1" applyFill="1" applyBorder="1" applyAlignment="1">
      <alignment horizontal="center" vertical="center" wrapText="1"/>
    </xf>
    <xf numFmtId="165" fontId="46" fillId="10" borderId="11" xfId="42" applyNumberFormat="1" applyFont="1" applyFill="1" applyBorder="1" applyAlignment="1">
      <alignment horizontal="center" vertical="center" wrapText="1"/>
    </xf>
    <xf numFmtId="43" fontId="46" fillId="10" borderId="11" xfId="42" applyFont="1" applyFill="1" applyBorder="1" applyAlignment="1">
      <alignment horizontal="center" vertical="center" wrapText="1"/>
    </xf>
    <xf numFmtId="165" fontId="46" fillId="10" borderId="12" xfId="42" applyNumberFormat="1" applyFont="1" applyFill="1" applyBorder="1" applyAlignment="1">
      <alignment horizontal="center" vertical="center" wrapText="1"/>
    </xf>
    <xf numFmtId="165" fontId="46" fillId="9" borderId="11" xfId="42" applyNumberFormat="1" applyFont="1" applyFill="1" applyBorder="1" applyAlignment="1">
      <alignment horizontal="center" vertical="center" wrapText="1"/>
    </xf>
    <xf numFmtId="43" fontId="46" fillId="9" borderId="11" xfId="42" applyFont="1" applyFill="1" applyBorder="1" applyAlignment="1">
      <alignment horizontal="center" vertical="center" wrapText="1"/>
    </xf>
    <xf numFmtId="165" fontId="46" fillId="9" borderId="12" xfId="42" applyNumberFormat="1" applyFont="1" applyFill="1" applyBorder="1" applyAlignment="1">
      <alignment horizontal="center" vertical="center" wrapText="1"/>
    </xf>
    <xf numFmtId="165" fontId="46" fillId="33" borderId="11" xfId="42" applyNumberFormat="1" applyFont="1" applyFill="1" applyBorder="1" applyAlignment="1">
      <alignment horizontal="center" vertical="center" wrapText="1"/>
    </xf>
    <xf numFmtId="43" fontId="46" fillId="33" borderId="11" xfId="42" applyFont="1" applyFill="1" applyBorder="1" applyAlignment="1">
      <alignment horizontal="center" vertical="center" wrapText="1"/>
    </xf>
    <xf numFmtId="165" fontId="46" fillId="33" borderId="12" xfId="42" applyNumberFormat="1" applyFont="1" applyFill="1" applyBorder="1" applyAlignment="1">
      <alignment horizontal="center" vertical="center" wrapText="1"/>
    </xf>
    <xf numFmtId="165" fontId="48" fillId="5" borderId="11" xfId="42" applyNumberFormat="1" applyFont="1" applyFill="1" applyBorder="1" applyAlignment="1">
      <alignment horizontal="center" vertical="center" wrapText="1"/>
    </xf>
    <xf numFmtId="165" fontId="48" fillId="13" borderId="11" xfId="42" applyNumberFormat="1" applyFont="1" applyFill="1" applyBorder="1" applyAlignment="1">
      <alignment horizontal="center" vertical="center" wrapText="1"/>
    </xf>
    <xf numFmtId="165" fontId="48" fillId="10" borderId="11" xfId="42" applyNumberFormat="1" applyFont="1" applyFill="1" applyBorder="1" applyAlignment="1">
      <alignment horizontal="center" vertical="center" wrapText="1"/>
    </xf>
    <xf numFmtId="165" fontId="48" fillId="9" borderId="11" xfId="42" applyNumberFormat="1" applyFont="1" applyFill="1" applyBorder="1" applyAlignment="1">
      <alignment horizontal="center" vertical="center" wrapText="1"/>
    </xf>
    <xf numFmtId="165" fontId="48" fillId="9" borderId="10" xfId="42" applyNumberFormat="1" applyFont="1" applyFill="1" applyBorder="1" applyAlignment="1">
      <alignment horizontal="center" vertical="center" wrapText="1"/>
    </xf>
    <xf numFmtId="165" fontId="48" fillId="33" borderId="11" xfId="42" applyNumberFormat="1" applyFont="1" applyFill="1" applyBorder="1" applyAlignment="1">
      <alignment horizontal="center" vertical="center" wrapText="1"/>
    </xf>
    <xf numFmtId="165" fontId="49" fillId="5" borderId="11" xfId="42" applyNumberFormat="1" applyFont="1" applyFill="1" applyBorder="1" applyAlignment="1">
      <alignment horizontal="center" vertical="center" wrapText="1"/>
    </xf>
    <xf numFmtId="165" fontId="49" fillId="5" borderId="10" xfId="42" applyNumberFormat="1" applyFont="1" applyFill="1" applyBorder="1" applyAlignment="1">
      <alignment horizontal="center" vertical="center" wrapText="1"/>
    </xf>
    <xf numFmtId="165" fontId="49" fillId="5" borderId="12" xfId="42" applyNumberFormat="1" applyFont="1" applyFill="1" applyBorder="1" applyAlignment="1">
      <alignment horizontal="center" vertical="center" wrapText="1"/>
    </xf>
    <xf numFmtId="165" fontId="49" fillId="13" borderId="11" xfId="42" applyNumberFormat="1" applyFont="1" applyFill="1" applyBorder="1" applyAlignment="1">
      <alignment horizontal="center" vertical="center" wrapText="1"/>
    </xf>
    <xf numFmtId="165" fontId="49" fillId="13" borderId="10" xfId="42" applyNumberFormat="1" applyFont="1" applyFill="1" applyBorder="1" applyAlignment="1">
      <alignment horizontal="center" vertical="center" wrapText="1"/>
    </xf>
    <xf numFmtId="165" fontId="49" fillId="13" borderId="12" xfId="42" applyNumberFormat="1" applyFont="1" applyFill="1" applyBorder="1" applyAlignment="1">
      <alignment horizontal="center" vertical="center" wrapText="1"/>
    </xf>
    <xf numFmtId="165" fontId="49" fillId="10" borderId="11" xfId="42" applyNumberFormat="1" applyFont="1" applyFill="1" applyBorder="1" applyAlignment="1">
      <alignment horizontal="center" vertical="center" wrapText="1"/>
    </xf>
    <xf numFmtId="165" fontId="49" fillId="10" borderId="10" xfId="42" applyNumberFormat="1" applyFont="1" applyFill="1" applyBorder="1" applyAlignment="1">
      <alignment horizontal="center" vertical="center" wrapText="1"/>
    </xf>
    <xf numFmtId="165" fontId="49" fillId="10" borderId="12" xfId="42" applyNumberFormat="1" applyFont="1" applyFill="1" applyBorder="1" applyAlignment="1">
      <alignment horizontal="center" vertical="center" wrapText="1"/>
    </xf>
    <xf numFmtId="165" fontId="49" fillId="9" borderId="11" xfId="42" applyNumberFormat="1" applyFont="1" applyFill="1" applyBorder="1" applyAlignment="1">
      <alignment horizontal="center" vertical="center" wrapText="1"/>
    </xf>
    <xf numFmtId="165" fontId="49" fillId="9" borderId="10" xfId="42" applyNumberFormat="1" applyFont="1" applyFill="1" applyBorder="1" applyAlignment="1">
      <alignment horizontal="center" vertical="center" wrapText="1"/>
    </xf>
    <xf numFmtId="165" fontId="49" fillId="9" borderId="12" xfId="42" applyNumberFormat="1" applyFont="1" applyFill="1" applyBorder="1" applyAlignment="1">
      <alignment horizontal="center" vertical="center" wrapText="1"/>
    </xf>
    <xf numFmtId="165" fontId="49" fillId="33" borderId="11" xfId="42" applyNumberFormat="1" applyFont="1" applyFill="1" applyBorder="1" applyAlignment="1">
      <alignment horizontal="center" vertical="center" wrapText="1"/>
    </xf>
    <xf numFmtId="165" fontId="49" fillId="33" borderId="10" xfId="42" applyNumberFormat="1" applyFont="1" applyFill="1" applyBorder="1" applyAlignment="1">
      <alignment horizontal="center" vertical="center" wrapText="1"/>
    </xf>
    <xf numFmtId="165" fontId="49" fillId="33" borderId="12" xfId="42" applyNumberFormat="1" applyFont="1" applyFill="1" applyBorder="1" applyAlignment="1">
      <alignment horizontal="center" vertical="center" wrapText="1"/>
    </xf>
    <xf numFmtId="165" fontId="49" fillId="6" borderId="10" xfId="42" applyNumberFormat="1" applyFont="1" applyFill="1" applyBorder="1" applyAlignment="1">
      <alignment horizontal="center" vertical="center" wrapText="1"/>
    </xf>
    <xf numFmtId="165" fontId="47" fillId="5" borderId="10" xfId="42" applyNumberFormat="1" applyFont="1" applyFill="1" applyBorder="1" applyAlignment="1">
      <alignment horizontal="center" vertical="center" wrapText="1"/>
    </xf>
    <xf numFmtId="165" fontId="47" fillId="13" borderId="10" xfId="42" applyNumberFormat="1" applyFont="1" applyFill="1" applyBorder="1" applyAlignment="1">
      <alignment horizontal="center" vertical="center" wrapText="1"/>
    </xf>
    <xf numFmtId="165" fontId="47" fillId="10" borderId="10" xfId="42" applyNumberFormat="1" applyFont="1" applyFill="1" applyBorder="1" applyAlignment="1">
      <alignment horizontal="center" vertical="center" wrapText="1"/>
    </xf>
    <xf numFmtId="165" fontId="47" fillId="6" borderId="10" xfId="42" applyNumberFormat="1" applyFont="1" applyFill="1" applyBorder="1" applyAlignment="1">
      <alignment horizontal="center" vertical="center" wrapText="1"/>
    </xf>
    <xf numFmtId="165" fontId="47" fillId="9" borderId="10" xfId="42" applyNumberFormat="1" applyFont="1" applyFill="1" applyBorder="1" applyAlignment="1">
      <alignment horizontal="center" vertical="center" wrapText="1"/>
    </xf>
    <xf numFmtId="165" fontId="47" fillId="33" borderId="10" xfId="42" applyNumberFormat="1" applyFont="1" applyFill="1" applyBorder="1" applyAlignment="1">
      <alignment horizontal="center" vertical="center" wrapText="1"/>
    </xf>
    <xf numFmtId="165" fontId="47" fillId="5" borderId="11" xfId="42" applyNumberFormat="1" applyFont="1" applyFill="1" applyBorder="1" applyAlignment="1">
      <alignment horizontal="center" vertical="center" wrapText="1"/>
    </xf>
    <xf numFmtId="165" fontId="47" fillId="5" borderId="12" xfId="42" applyNumberFormat="1" applyFont="1" applyFill="1" applyBorder="1" applyAlignment="1">
      <alignment horizontal="center" vertical="center" wrapText="1"/>
    </xf>
    <xf numFmtId="165" fontId="47" fillId="13" borderId="11" xfId="42" applyNumberFormat="1" applyFont="1" applyFill="1" applyBorder="1" applyAlignment="1">
      <alignment horizontal="center" vertical="center" wrapText="1"/>
    </xf>
    <xf numFmtId="165" fontId="47" fillId="13" borderId="12" xfId="42" applyNumberFormat="1" applyFont="1" applyFill="1" applyBorder="1" applyAlignment="1">
      <alignment horizontal="center" vertical="center" wrapText="1"/>
    </xf>
    <xf numFmtId="165" fontId="47" fillId="10" borderId="11" xfId="42" applyNumberFormat="1" applyFont="1" applyFill="1" applyBorder="1" applyAlignment="1">
      <alignment horizontal="center" vertical="center" wrapText="1"/>
    </xf>
    <xf numFmtId="165" fontId="47" fillId="10" borderId="12" xfId="42" applyNumberFormat="1" applyFont="1" applyFill="1" applyBorder="1" applyAlignment="1">
      <alignment horizontal="center" vertical="center" wrapText="1"/>
    </xf>
    <xf numFmtId="165" fontId="48" fillId="6" borderId="11" xfId="42" applyNumberFormat="1" applyFont="1" applyFill="1" applyBorder="1" applyAlignment="1">
      <alignment horizontal="center" vertical="center" wrapText="1"/>
    </xf>
    <xf numFmtId="165" fontId="46" fillId="6" borderId="11" xfId="42" applyNumberFormat="1" applyFont="1" applyFill="1" applyBorder="1" applyAlignment="1">
      <alignment horizontal="center" vertical="center" wrapText="1"/>
    </xf>
    <xf numFmtId="43" fontId="46" fillId="6" borderId="11" xfId="42" applyFont="1" applyFill="1" applyBorder="1" applyAlignment="1">
      <alignment horizontal="center" vertical="center" wrapText="1"/>
    </xf>
    <xf numFmtId="165" fontId="49" fillId="6" borderId="11" xfId="42" applyNumberFormat="1" applyFont="1" applyFill="1" applyBorder="1" applyAlignment="1">
      <alignment horizontal="center" vertical="center" wrapText="1"/>
    </xf>
    <xf numFmtId="165" fontId="47" fillId="6" borderId="11" xfId="42" applyNumberFormat="1" applyFont="1" applyFill="1" applyBorder="1" applyAlignment="1">
      <alignment horizontal="center" vertical="center" wrapText="1"/>
    </xf>
    <xf numFmtId="165" fontId="46" fillId="6" borderId="12" xfId="42" applyNumberFormat="1" applyFont="1" applyFill="1" applyBorder="1" applyAlignment="1">
      <alignment horizontal="center" vertical="center" wrapText="1"/>
    </xf>
    <xf numFmtId="165" fontId="49" fillId="6" borderId="12" xfId="42" applyNumberFormat="1" applyFont="1" applyFill="1" applyBorder="1" applyAlignment="1">
      <alignment horizontal="center" vertical="center" wrapText="1"/>
    </xf>
    <xf numFmtId="165" fontId="47" fillId="6" borderId="12" xfId="42" applyNumberFormat="1" applyFont="1" applyFill="1" applyBorder="1" applyAlignment="1">
      <alignment horizontal="center" vertical="center" wrapText="1"/>
    </xf>
    <xf numFmtId="165" fontId="47" fillId="9" borderId="11" xfId="42" applyNumberFormat="1" applyFont="1" applyFill="1" applyBorder="1" applyAlignment="1">
      <alignment horizontal="center" vertical="center" wrapText="1"/>
    </xf>
    <xf numFmtId="165" fontId="47" fillId="9" borderId="12" xfId="42" applyNumberFormat="1" applyFont="1" applyFill="1" applyBorder="1" applyAlignment="1">
      <alignment horizontal="center" vertical="center" wrapText="1"/>
    </xf>
    <xf numFmtId="165" fontId="47" fillId="33" borderId="11" xfId="42" applyNumberFormat="1" applyFont="1" applyFill="1" applyBorder="1" applyAlignment="1">
      <alignment horizontal="center" vertical="center" wrapText="1"/>
    </xf>
    <xf numFmtId="165" fontId="47" fillId="33" borderId="12" xfId="42" applyNumberFormat="1" applyFont="1" applyFill="1" applyBorder="1" applyAlignment="1">
      <alignment horizontal="center" vertical="center" wrapText="1"/>
    </xf>
    <xf numFmtId="165" fontId="50" fillId="0" borderId="0" xfId="42" applyNumberFormat="1" applyFont="1" applyAlignment="1">
      <alignment horizontal="center" vertical="center" wrapText="1"/>
    </xf>
    <xf numFmtId="165" fontId="48" fillId="34" borderId="11" xfId="42" applyNumberFormat="1" applyFont="1" applyFill="1" applyBorder="1" applyAlignment="1">
      <alignment horizontal="center" vertical="center" wrapText="1"/>
    </xf>
    <xf numFmtId="165" fontId="46" fillId="34" borderId="11" xfId="42" applyNumberFormat="1" applyFont="1" applyFill="1" applyBorder="1" applyAlignment="1">
      <alignment horizontal="center" vertical="center" wrapText="1"/>
    </xf>
    <xf numFmtId="43" fontId="46" fillId="34" borderId="11" xfId="42" applyFont="1" applyFill="1" applyBorder="1" applyAlignment="1">
      <alignment horizontal="center" vertical="center" wrapText="1"/>
    </xf>
    <xf numFmtId="165" fontId="49" fillId="34" borderId="11" xfId="42" applyNumberFormat="1" applyFont="1" applyFill="1" applyBorder="1" applyAlignment="1">
      <alignment horizontal="center" vertical="center" wrapText="1"/>
    </xf>
    <xf numFmtId="165" fontId="47" fillId="34" borderId="11" xfId="42" applyNumberFormat="1" applyFont="1" applyFill="1" applyBorder="1" applyAlignment="1">
      <alignment horizontal="center" vertical="center" wrapText="1"/>
    </xf>
    <xf numFmtId="165" fontId="46" fillId="34" borderId="10" xfId="42" applyNumberFormat="1" applyFont="1" applyFill="1" applyBorder="1" applyAlignment="1">
      <alignment horizontal="center" vertical="center" wrapText="1"/>
    </xf>
    <xf numFmtId="43" fontId="46" fillId="34" borderId="10" xfId="42" applyFont="1" applyFill="1" applyBorder="1" applyAlignment="1">
      <alignment horizontal="center" vertical="center" wrapText="1"/>
    </xf>
    <xf numFmtId="165" fontId="49" fillId="34" borderId="10" xfId="42" applyNumberFormat="1" applyFont="1" applyFill="1" applyBorder="1" applyAlignment="1">
      <alignment horizontal="center" vertical="center" wrapText="1"/>
    </xf>
    <xf numFmtId="165" fontId="47" fillId="34" borderId="10" xfId="42" applyNumberFormat="1" applyFont="1" applyFill="1" applyBorder="1" applyAlignment="1">
      <alignment horizontal="center" vertical="center" wrapText="1"/>
    </xf>
    <xf numFmtId="165" fontId="46" fillId="34" borderId="12" xfId="42" applyNumberFormat="1" applyFont="1" applyFill="1" applyBorder="1" applyAlignment="1">
      <alignment horizontal="center" vertical="center" wrapText="1"/>
    </xf>
    <xf numFmtId="165" fontId="49" fillId="34" borderId="12" xfId="42" applyNumberFormat="1" applyFont="1" applyFill="1" applyBorder="1" applyAlignment="1">
      <alignment horizontal="center" vertical="center" wrapText="1"/>
    </xf>
    <xf numFmtId="165" fontId="47" fillId="34" borderId="12" xfId="42" applyNumberFormat="1" applyFont="1" applyFill="1" applyBorder="1" applyAlignment="1">
      <alignment horizontal="center" vertical="center" wrapText="1"/>
    </xf>
    <xf numFmtId="165" fontId="51" fillId="0" borderId="0" xfId="42" applyNumberFormat="1" applyFont="1" applyAlignment="1">
      <alignment horizontal="center" vertical="center" wrapText="1"/>
    </xf>
    <xf numFmtId="165" fontId="50" fillId="18" borderId="13" xfId="42" applyNumberFormat="1" applyFont="1" applyFill="1" applyBorder="1" applyAlignment="1">
      <alignment horizontal="center" vertical="center" wrapText="1"/>
    </xf>
    <xf numFmtId="165" fontId="52" fillId="35" borderId="14" xfId="42" applyNumberFormat="1" applyFont="1" applyFill="1" applyBorder="1" applyAlignment="1">
      <alignment horizontal="center" vertical="center" wrapText="1"/>
    </xf>
    <xf numFmtId="165" fontId="50" fillId="35" borderId="14" xfId="42" applyNumberFormat="1" applyFont="1" applyFill="1" applyBorder="1" applyAlignment="1">
      <alignment horizontal="center" vertical="center" wrapText="1"/>
    </xf>
    <xf numFmtId="165" fontId="50" fillId="18" borderId="15" xfId="42" applyNumberFormat="1" applyFont="1" applyFill="1" applyBorder="1" applyAlignment="1">
      <alignment horizontal="center" vertical="center" wrapText="1"/>
    </xf>
    <xf numFmtId="165" fontId="53" fillId="18" borderId="16" xfId="42" applyNumberFormat="1" applyFont="1" applyFill="1" applyBorder="1" applyAlignment="1">
      <alignment horizontal="center" vertical="center" wrapText="1"/>
    </xf>
    <xf numFmtId="43" fontId="51" fillId="34" borderId="11" xfId="42" applyFont="1" applyFill="1" applyBorder="1" applyAlignment="1">
      <alignment horizontal="center" vertical="center" wrapText="1"/>
    </xf>
    <xf numFmtId="43" fontId="51" fillId="34" borderId="10" xfId="42" applyFont="1" applyFill="1" applyBorder="1" applyAlignment="1">
      <alignment horizontal="center" vertical="center" wrapText="1"/>
    </xf>
    <xf numFmtId="43" fontId="51" fillId="34" borderId="12" xfId="42" applyFont="1" applyFill="1" applyBorder="1" applyAlignment="1">
      <alignment horizontal="center" vertical="center" wrapText="1"/>
    </xf>
    <xf numFmtId="43" fontId="51" fillId="5" borderId="17" xfId="42" applyNumberFormat="1" applyFont="1" applyFill="1" applyBorder="1" applyAlignment="1">
      <alignment horizontal="center" vertical="center" wrapText="1"/>
    </xf>
    <xf numFmtId="43" fontId="51" fillId="5" borderId="18" xfId="42" applyNumberFormat="1" applyFont="1" applyFill="1" applyBorder="1" applyAlignment="1">
      <alignment horizontal="center" vertical="center" wrapText="1"/>
    </xf>
    <xf numFmtId="43" fontId="51" fillId="5" borderId="19" xfId="42" applyNumberFormat="1" applyFont="1" applyFill="1" applyBorder="1" applyAlignment="1">
      <alignment horizontal="center" vertical="center" wrapText="1"/>
    </xf>
    <xf numFmtId="43" fontId="51" fillId="13" borderId="17" xfId="42" applyNumberFormat="1" applyFont="1" applyFill="1" applyBorder="1" applyAlignment="1">
      <alignment horizontal="center" vertical="center" wrapText="1"/>
    </xf>
    <xf numFmtId="43" fontId="51" fillId="13" borderId="18" xfId="42" applyNumberFormat="1" applyFont="1" applyFill="1" applyBorder="1" applyAlignment="1">
      <alignment horizontal="center" vertical="center" wrapText="1"/>
    </xf>
    <xf numFmtId="43" fontId="51" fillId="13" borderId="19" xfId="42" applyNumberFormat="1" applyFont="1" applyFill="1" applyBorder="1" applyAlignment="1">
      <alignment horizontal="center" vertical="center" wrapText="1"/>
    </xf>
    <xf numFmtId="43" fontId="51" fillId="10" borderId="17" xfId="42" applyNumberFormat="1" applyFont="1" applyFill="1" applyBorder="1" applyAlignment="1">
      <alignment horizontal="center" vertical="center" wrapText="1"/>
    </xf>
    <xf numFmtId="43" fontId="51" fillId="10" borderId="18" xfId="42" applyNumberFormat="1" applyFont="1" applyFill="1" applyBorder="1" applyAlignment="1">
      <alignment horizontal="center" vertical="center" wrapText="1"/>
    </xf>
    <xf numFmtId="43" fontId="51" fillId="10" borderId="19" xfId="42" applyNumberFormat="1" applyFont="1" applyFill="1" applyBorder="1" applyAlignment="1">
      <alignment horizontal="center" vertical="center" wrapText="1"/>
    </xf>
    <xf numFmtId="43" fontId="51" fillId="6" borderId="17" xfId="42" applyNumberFormat="1" applyFont="1" applyFill="1" applyBorder="1" applyAlignment="1">
      <alignment horizontal="center" vertical="center" wrapText="1"/>
    </xf>
    <xf numFmtId="43" fontId="51" fillId="6" borderId="18" xfId="42" applyNumberFormat="1" applyFont="1" applyFill="1" applyBorder="1" applyAlignment="1">
      <alignment horizontal="center" vertical="center" wrapText="1"/>
    </xf>
    <xf numFmtId="43" fontId="51" fillId="6" borderId="19" xfId="42" applyNumberFormat="1" applyFont="1" applyFill="1" applyBorder="1" applyAlignment="1">
      <alignment horizontal="center" vertical="center" wrapText="1"/>
    </xf>
    <xf numFmtId="43" fontId="51" fillId="9" borderId="17" xfId="42" applyNumberFormat="1" applyFont="1" applyFill="1" applyBorder="1" applyAlignment="1">
      <alignment horizontal="center" vertical="center" wrapText="1"/>
    </xf>
    <xf numFmtId="43" fontId="51" fillId="9" borderId="18" xfId="42" applyNumberFormat="1" applyFont="1" applyFill="1" applyBorder="1" applyAlignment="1">
      <alignment horizontal="center" vertical="center" wrapText="1"/>
    </xf>
    <xf numFmtId="43" fontId="51" fillId="9" borderId="19" xfId="42" applyNumberFormat="1" applyFont="1" applyFill="1" applyBorder="1" applyAlignment="1">
      <alignment horizontal="center" vertical="center" wrapText="1"/>
    </xf>
    <xf numFmtId="43" fontId="51" fillId="33" borderId="17" xfId="42" applyNumberFormat="1" applyFont="1" applyFill="1" applyBorder="1" applyAlignment="1">
      <alignment horizontal="center" vertical="center" wrapText="1"/>
    </xf>
    <xf numFmtId="43" fontId="51" fillId="33" borderId="18" xfId="42" applyNumberFormat="1" applyFont="1" applyFill="1" applyBorder="1" applyAlignment="1">
      <alignment horizontal="center" vertical="center" wrapText="1"/>
    </xf>
    <xf numFmtId="43" fontId="51" fillId="33" borderId="19" xfId="42" applyNumberFormat="1" applyFont="1" applyFill="1" applyBorder="1" applyAlignment="1">
      <alignment horizontal="center" vertical="center" wrapText="1"/>
    </xf>
    <xf numFmtId="43" fontId="51" fillId="34" borderId="17" xfId="42" applyNumberFormat="1" applyFont="1" applyFill="1" applyBorder="1" applyAlignment="1">
      <alignment horizontal="center" vertical="center" wrapText="1"/>
    </xf>
    <xf numFmtId="43" fontId="51" fillId="34" borderId="18" xfId="42" applyNumberFormat="1" applyFont="1" applyFill="1" applyBorder="1" applyAlignment="1">
      <alignment horizontal="center" vertical="center" wrapText="1"/>
    </xf>
    <xf numFmtId="43" fontId="51" fillId="34" borderId="19" xfId="42" applyNumberFormat="1" applyFont="1" applyFill="1" applyBorder="1" applyAlignment="1">
      <alignment horizontal="center" vertical="center" wrapText="1"/>
    </xf>
    <xf numFmtId="166" fontId="51" fillId="5" borderId="11" xfId="42" applyNumberFormat="1" applyFont="1" applyFill="1" applyBorder="1" applyAlignment="1">
      <alignment horizontal="center" vertical="center" wrapText="1"/>
    </xf>
    <xf numFmtId="166" fontId="51" fillId="5" borderId="10" xfId="42" applyNumberFormat="1" applyFont="1" applyFill="1" applyBorder="1" applyAlignment="1">
      <alignment horizontal="center" vertical="center" wrapText="1"/>
    </xf>
    <xf numFmtId="166" fontId="51" fillId="5" borderId="12" xfId="42" applyNumberFormat="1" applyFont="1" applyFill="1" applyBorder="1" applyAlignment="1">
      <alignment horizontal="center" vertical="center" wrapText="1"/>
    </xf>
    <xf numFmtId="43" fontId="51" fillId="13" borderId="11" xfId="42" applyFont="1" applyFill="1" applyBorder="1" applyAlignment="1">
      <alignment horizontal="center" vertical="center" wrapText="1"/>
    </xf>
    <xf numFmtId="43" fontId="51" fillId="13" borderId="10" xfId="42" applyFont="1" applyFill="1" applyBorder="1" applyAlignment="1">
      <alignment horizontal="center" vertical="center" wrapText="1"/>
    </xf>
    <xf numFmtId="43" fontId="51" fillId="13" borderId="12" xfId="42" applyFont="1" applyFill="1" applyBorder="1" applyAlignment="1">
      <alignment horizontal="center" vertical="center" wrapText="1"/>
    </xf>
    <xf numFmtId="43" fontId="51" fillId="10" borderId="11" xfId="42" applyFont="1" applyFill="1" applyBorder="1" applyAlignment="1">
      <alignment horizontal="center" vertical="center" wrapText="1"/>
    </xf>
    <xf numFmtId="43" fontId="51" fillId="10" borderId="10" xfId="42" applyFont="1" applyFill="1" applyBorder="1" applyAlignment="1">
      <alignment horizontal="center" vertical="center" wrapText="1"/>
    </xf>
    <xf numFmtId="43" fontId="51" fillId="10" borderId="12" xfId="42" applyFont="1" applyFill="1" applyBorder="1" applyAlignment="1">
      <alignment horizontal="center" vertical="center" wrapText="1"/>
    </xf>
    <xf numFmtId="43" fontId="51" fillId="6" borderId="11" xfId="42" applyFont="1" applyFill="1" applyBorder="1" applyAlignment="1">
      <alignment horizontal="center" vertical="center" wrapText="1"/>
    </xf>
    <xf numFmtId="43" fontId="51" fillId="6" borderId="10" xfId="42" applyFont="1" applyFill="1" applyBorder="1" applyAlignment="1">
      <alignment horizontal="center" vertical="center" wrapText="1"/>
    </xf>
    <xf numFmtId="43" fontId="51" fillId="6" borderId="12" xfId="42" applyFont="1" applyFill="1" applyBorder="1" applyAlignment="1">
      <alignment horizontal="center" vertical="center" wrapText="1"/>
    </xf>
    <xf numFmtId="43" fontId="51" fillId="9" borderId="11" xfId="42" applyFont="1" applyFill="1" applyBorder="1" applyAlignment="1">
      <alignment horizontal="center" vertical="center" wrapText="1"/>
    </xf>
    <xf numFmtId="43" fontId="51" fillId="9" borderId="10" xfId="42" applyFont="1" applyFill="1" applyBorder="1" applyAlignment="1">
      <alignment horizontal="center" vertical="center" wrapText="1"/>
    </xf>
    <xf numFmtId="43" fontId="51" fillId="9" borderId="12" xfId="42" applyFont="1" applyFill="1" applyBorder="1" applyAlignment="1">
      <alignment horizontal="center" vertical="center" wrapText="1"/>
    </xf>
    <xf numFmtId="43" fontId="51" fillId="33" borderId="11" xfId="42" applyFont="1" applyFill="1" applyBorder="1" applyAlignment="1">
      <alignment horizontal="center" vertical="center" wrapText="1"/>
    </xf>
    <xf numFmtId="43" fontId="51" fillId="33" borderId="10" xfId="42" applyFont="1" applyFill="1" applyBorder="1" applyAlignment="1">
      <alignment horizontal="center" vertical="center" wrapText="1"/>
    </xf>
    <xf numFmtId="43" fontId="51" fillId="33" borderId="12" xfId="42" applyFont="1" applyFill="1" applyBorder="1" applyAlignment="1">
      <alignment horizontal="center" vertical="center" wrapText="1"/>
    </xf>
    <xf numFmtId="165" fontId="53" fillId="5" borderId="11" xfId="42" applyNumberFormat="1" applyFont="1" applyFill="1" applyBorder="1" applyAlignment="1">
      <alignment horizontal="center" vertical="center" wrapText="1"/>
    </xf>
    <xf numFmtId="165" fontId="53" fillId="5" borderId="10" xfId="42" applyNumberFormat="1" applyFont="1" applyFill="1" applyBorder="1" applyAlignment="1">
      <alignment horizontal="center" vertical="center" wrapText="1"/>
    </xf>
    <xf numFmtId="165" fontId="53" fillId="5" borderId="12" xfId="42" applyNumberFormat="1" applyFont="1" applyFill="1" applyBorder="1" applyAlignment="1">
      <alignment horizontal="center" vertical="center" wrapText="1"/>
    </xf>
    <xf numFmtId="165" fontId="53" fillId="13" borderId="11" xfId="42" applyNumberFormat="1" applyFont="1" applyFill="1" applyBorder="1" applyAlignment="1">
      <alignment horizontal="center" vertical="center" wrapText="1"/>
    </xf>
    <xf numFmtId="165" fontId="53" fillId="13" borderId="10" xfId="42" applyNumberFormat="1" applyFont="1" applyFill="1" applyBorder="1" applyAlignment="1">
      <alignment horizontal="center" vertical="center" wrapText="1"/>
    </xf>
    <xf numFmtId="165" fontId="53" fillId="13" borderId="12" xfId="42" applyNumberFormat="1" applyFont="1" applyFill="1" applyBorder="1" applyAlignment="1">
      <alignment horizontal="center" vertical="center" wrapText="1"/>
    </xf>
    <xf numFmtId="165" fontId="53" fillId="10" borderId="11" xfId="42" applyNumberFormat="1" applyFont="1" applyFill="1" applyBorder="1" applyAlignment="1">
      <alignment horizontal="center" vertical="center" wrapText="1"/>
    </xf>
    <xf numFmtId="165" fontId="53" fillId="10" borderId="10" xfId="42" applyNumberFormat="1" applyFont="1" applyFill="1" applyBorder="1" applyAlignment="1">
      <alignment horizontal="center" vertical="center" wrapText="1"/>
    </xf>
    <xf numFmtId="165" fontId="53" fillId="10" borderId="12" xfId="42" applyNumberFormat="1" applyFont="1" applyFill="1" applyBorder="1" applyAlignment="1">
      <alignment horizontal="center" vertical="center" wrapText="1"/>
    </xf>
    <xf numFmtId="165" fontId="53" fillId="6" borderId="11" xfId="42" applyNumberFormat="1" applyFont="1" applyFill="1" applyBorder="1" applyAlignment="1">
      <alignment horizontal="center" vertical="center" wrapText="1"/>
    </xf>
    <xf numFmtId="165" fontId="53" fillId="6" borderId="10" xfId="42" applyNumberFormat="1" applyFont="1" applyFill="1" applyBorder="1" applyAlignment="1">
      <alignment horizontal="center" vertical="center" wrapText="1"/>
    </xf>
    <xf numFmtId="165" fontId="53" fillId="6" borderId="12" xfId="42" applyNumberFormat="1" applyFont="1" applyFill="1" applyBorder="1" applyAlignment="1">
      <alignment horizontal="center" vertical="center" wrapText="1"/>
    </xf>
    <xf numFmtId="165" fontId="53" fillId="9" borderId="11" xfId="42" applyNumberFormat="1" applyFont="1" applyFill="1" applyBorder="1" applyAlignment="1">
      <alignment horizontal="center" vertical="center" wrapText="1"/>
    </xf>
    <xf numFmtId="165" fontId="53" fillId="9" borderId="10" xfId="42" applyNumberFormat="1" applyFont="1" applyFill="1" applyBorder="1" applyAlignment="1">
      <alignment horizontal="center" vertical="center" wrapText="1"/>
    </xf>
    <xf numFmtId="165" fontId="53" fillId="9" borderId="12" xfId="42" applyNumberFormat="1" applyFont="1" applyFill="1" applyBorder="1" applyAlignment="1">
      <alignment horizontal="center" vertical="center" wrapText="1"/>
    </xf>
    <xf numFmtId="165" fontId="53" fillId="33" borderId="11" xfId="42" applyNumberFormat="1" applyFont="1" applyFill="1" applyBorder="1" applyAlignment="1">
      <alignment horizontal="center" vertical="center" wrapText="1"/>
    </xf>
    <xf numFmtId="165" fontId="53" fillId="33" borderId="10" xfId="42" applyNumberFormat="1" applyFont="1" applyFill="1" applyBorder="1" applyAlignment="1">
      <alignment horizontal="center" vertical="center" wrapText="1"/>
    </xf>
    <xf numFmtId="165" fontId="53" fillId="33" borderId="12" xfId="42" applyNumberFormat="1" applyFont="1" applyFill="1" applyBorder="1" applyAlignment="1">
      <alignment horizontal="center" vertical="center" wrapText="1"/>
    </xf>
    <xf numFmtId="165" fontId="3" fillId="34" borderId="11" xfId="42" applyNumberFormat="1" applyFont="1" applyFill="1" applyBorder="1" applyAlignment="1">
      <alignment horizontal="center" vertical="center" wrapText="1"/>
    </xf>
    <xf numFmtId="165" fontId="3" fillId="34" borderId="10" xfId="42" applyNumberFormat="1" applyFont="1" applyFill="1" applyBorder="1" applyAlignment="1">
      <alignment horizontal="center" vertical="center" wrapText="1"/>
    </xf>
    <xf numFmtId="165" fontId="3" fillId="34" borderId="12" xfId="42" applyNumberFormat="1" applyFont="1" applyFill="1" applyBorder="1" applyAlignment="1">
      <alignment horizontal="center" vertical="center" wrapText="1"/>
    </xf>
    <xf numFmtId="165" fontId="54" fillId="0" borderId="20" xfId="42" applyNumberFormat="1" applyFont="1" applyBorder="1" applyAlignment="1">
      <alignment horizontal="center" vertical="center" wrapText="1"/>
    </xf>
    <xf numFmtId="165" fontId="54" fillId="0" borderId="21" xfId="42" applyNumberFormat="1" applyFont="1" applyBorder="1" applyAlignment="1">
      <alignment horizontal="center" vertical="center" wrapText="1"/>
    </xf>
    <xf numFmtId="165" fontId="54" fillId="0" borderId="22" xfId="42" applyNumberFormat="1" applyFont="1" applyBorder="1" applyAlignment="1">
      <alignment horizontal="center" vertical="center" wrapText="1"/>
    </xf>
    <xf numFmtId="165" fontId="50" fillId="9" borderId="23" xfId="42" applyNumberFormat="1" applyFont="1" applyFill="1" applyBorder="1" applyAlignment="1">
      <alignment horizontal="center" vertical="center" wrapText="1"/>
    </xf>
    <xf numFmtId="165" fontId="50" fillId="9" borderId="24" xfId="42" applyNumberFormat="1" applyFont="1" applyFill="1" applyBorder="1" applyAlignment="1">
      <alignment horizontal="center" vertical="center" wrapText="1"/>
    </xf>
    <xf numFmtId="165" fontId="50" fillId="9" borderId="25" xfId="42" applyNumberFormat="1" applyFont="1" applyFill="1" applyBorder="1" applyAlignment="1">
      <alignment horizontal="center" vertical="center" wrapText="1"/>
    </xf>
    <xf numFmtId="165" fontId="47" fillId="9" borderId="11" xfId="42" applyNumberFormat="1" applyFont="1" applyFill="1" applyBorder="1" applyAlignment="1">
      <alignment horizontal="center" vertical="center" wrapText="1"/>
    </xf>
    <xf numFmtId="165" fontId="47" fillId="9" borderId="10" xfId="42" applyNumberFormat="1" applyFont="1" applyFill="1" applyBorder="1" applyAlignment="1">
      <alignment horizontal="center" vertical="center" wrapText="1"/>
    </xf>
    <xf numFmtId="165" fontId="47" fillId="9" borderId="12" xfId="42" applyNumberFormat="1" applyFont="1" applyFill="1" applyBorder="1" applyAlignment="1">
      <alignment horizontal="center" vertical="center" wrapText="1"/>
    </xf>
    <xf numFmtId="165" fontId="50" fillId="5" borderId="23" xfId="42" applyNumberFormat="1" applyFont="1" applyFill="1" applyBorder="1" applyAlignment="1">
      <alignment horizontal="center" vertical="center" wrapText="1"/>
    </xf>
    <xf numFmtId="165" fontId="50" fillId="5" borderId="24" xfId="42" applyNumberFormat="1" applyFont="1" applyFill="1" applyBorder="1" applyAlignment="1">
      <alignment horizontal="center" vertical="center" wrapText="1"/>
    </xf>
    <xf numFmtId="165" fontId="50" fillId="5" borderId="25" xfId="42" applyNumberFormat="1" applyFont="1" applyFill="1" applyBorder="1" applyAlignment="1">
      <alignment horizontal="center" vertical="center" wrapText="1"/>
    </xf>
    <xf numFmtId="165" fontId="47" fillId="5" borderId="11" xfId="42" applyNumberFormat="1" applyFont="1" applyFill="1" applyBorder="1" applyAlignment="1">
      <alignment horizontal="center" vertical="center" wrapText="1"/>
    </xf>
    <xf numFmtId="165" fontId="47" fillId="5" borderId="10" xfId="42" applyNumberFormat="1" applyFont="1" applyFill="1" applyBorder="1" applyAlignment="1">
      <alignment horizontal="center" vertical="center" wrapText="1"/>
    </xf>
    <xf numFmtId="165" fontId="47" fillId="5" borderId="12" xfId="42" applyNumberFormat="1" applyFont="1" applyFill="1" applyBorder="1" applyAlignment="1">
      <alignment horizontal="center" vertical="center" wrapText="1"/>
    </xf>
    <xf numFmtId="165" fontId="50" fillId="10" borderId="23" xfId="42" applyNumberFormat="1" applyFont="1" applyFill="1" applyBorder="1" applyAlignment="1">
      <alignment horizontal="center" vertical="center" wrapText="1"/>
    </xf>
    <xf numFmtId="165" fontId="50" fillId="10" borderId="24" xfId="42" applyNumberFormat="1" applyFont="1" applyFill="1" applyBorder="1" applyAlignment="1">
      <alignment horizontal="center" vertical="center" wrapText="1"/>
    </xf>
    <xf numFmtId="165" fontId="50" fillId="10" borderId="25" xfId="42" applyNumberFormat="1" applyFont="1" applyFill="1" applyBorder="1" applyAlignment="1">
      <alignment horizontal="center" vertical="center" wrapText="1"/>
    </xf>
    <xf numFmtId="165" fontId="47" fillId="10" borderId="11" xfId="42" applyNumberFormat="1" applyFont="1" applyFill="1" applyBorder="1" applyAlignment="1">
      <alignment horizontal="center" vertical="center" wrapText="1"/>
    </xf>
    <xf numFmtId="165" fontId="47" fillId="10" borderId="10" xfId="42" applyNumberFormat="1" applyFont="1" applyFill="1" applyBorder="1" applyAlignment="1">
      <alignment horizontal="center" vertical="center" wrapText="1"/>
    </xf>
    <xf numFmtId="165" fontId="47" fillId="10" borderId="12" xfId="42" applyNumberFormat="1" applyFont="1" applyFill="1" applyBorder="1" applyAlignment="1">
      <alignment horizontal="center" vertical="center" wrapText="1"/>
    </xf>
    <xf numFmtId="165" fontId="55" fillId="18" borderId="23" xfId="42" applyNumberFormat="1" applyFont="1" applyFill="1" applyBorder="1" applyAlignment="1">
      <alignment horizontal="center" vertical="center" wrapText="1"/>
    </xf>
    <xf numFmtId="165" fontId="55" fillId="18" borderId="11" xfId="42" applyNumberFormat="1" applyFont="1" applyFill="1" applyBorder="1" applyAlignment="1">
      <alignment horizontal="center" vertical="center" wrapText="1"/>
    </xf>
    <xf numFmtId="165" fontId="55" fillId="18" borderId="17" xfId="42" applyNumberFormat="1" applyFont="1" applyFill="1" applyBorder="1" applyAlignment="1">
      <alignment horizontal="center" vertical="center" wrapText="1"/>
    </xf>
    <xf numFmtId="165" fontId="50" fillId="13" borderId="23" xfId="42" applyNumberFormat="1" applyFont="1" applyFill="1" applyBorder="1" applyAlignment="1">
      <alignment horizontal="center" vertical="center" wrapText="1"/>
    </xf>
    <xf numFmtId="165" fontId="50" fillId="13" borderId="24" xfId="42" applyNumberFormat="1" applyFont="1" applyFill="1" applyBorder="1" applyAlignment="1">
      <alignment horizontal="center" vertical="center" wrapText="1"/>
    </xf>
    <xf numFmtId="165" fontId="50" fillId="13" borderId="25" xfId="42" applyNumberFormat="1" applyFont="1" applyFill="1" applyBorder="1" applyAlignment="1">
      <alignment horizontal="center" vertical="center" wrapText="1"/>
    </xf>
    <xf numFmtId="165" fontId="47" fillId="13" borderId="11" xfId="42" applyNumberFormat="1" applyFont="1" applyFill="1" applyBorder="1" applyAlignment="1">
      <alignment horizontal="center" vertical="center" wrapText="1"/>
    </xf>
    <xf numFmtId="165" fontId="47" fillId="13" borderId="10" xfId="42" applyNumberFormat="1" applyFont="1" applyFill="1" applyBorder="1" applyAlignment="1">
      <alignment horizontal="center" vertical="center" wrapText="1"/>
    </xf>
    <xf numFmtId="165" fontId="47" fillId="13" borderId="12" xfId="42" applyNumberFormat="1" applyFont="1" applyFill="1" applyBorder="1" applyAlignment="1">
      <alignment horizontal="center" vertical="center" wrapText="1"/>
    </xf>
    <xf numFmtId="165" fontId="50" fillId="6" borderId="23" xfId="42" applyNumberFormat="1" applyFont="1" applyFill="1" applyBorder="1" applyAlignment="1">
      <alignment horizontal="center" vertical="center" wrapText="1"/>
    </xf>
    <xf numFmtId="165" fontId="50" fillId="6" borderId="24" xfId="42" applyNumberFormat="1" applyFont="1" applyFill="1" applyBorder="1" applyAlignment="1">
      <alignment horizontal="center" vertical="center" wrapText="1"/>
    </xf>
    <xf numFmtId="165" fontId="50" fillId="6" borderId="25" xfId="42" applyNumberFormat="1" applyFont="1" applyFill="1" applyBorder="1" applyAlignment="1">
      <alignment horizontal="center" vertical="center" wrapText="1"/>
    </xf>
    <xf numFmtId="165" fontId="47" fillId="6" borderId="11" xfId="42" applyNumberFormat="1" applyFont="1" applyFill="1" applyBorder="1" applyAlignment="1">
      <alignment horizontal="center" vertical="center" wrapText="1"/>
    </xf>
    <xf numFmtId="165" fontId="47" fillId="6" borderId="10" xfId="42" applyNumberFormat="1" applyFont="1" applyFill="1" applyBorder="1" applyAlignment="1">
      <alignment horizontal="center" vertical="center" wrapText="1"/>
    </xf>
    <xf numFmtId="165" fontId="47" fillId="6" borderId="12" xfId="42" applyNumberFormat="1" applyFont="1" applyFill="1" applyBorder="1" applyAlignment="1">
      <alignment horizontal="center" vertical="center" wrapText="1"/>
    </xf>
    <xf numFmtId="165" fontId="50" fillId="33" borderId="23" xfId="42" applyNumberFormat="1" applyFont="1" applyFill="1" applyBorder="1" applyAlignment="1">
      <alignment horizontal="center" vertical="center" wrapText="1"/>
    </xf>
    <xf numFmtId="165" fontId="50" fillId="33" borderId="24" xfId="42" applyNumberFormat="1" applyFont="1" applyFill="1" applyBorder="1" applyAlignment="1">
      <alignment horizontal="center" vertical="center" wrapText="1"/>
    </xf>
    <xf numFmtId="165" fontId="50" fillId="33" borderId="25" xfId="42" applyNumberFormat="1" applyFont="1" applyFill="1" applyBorder="1" applyAlignment="1">
      <alignment horizontal="center" vertical="center" wrapText="1"/>
    </xf>
    <xf numFmtId="165" fontId="47" fillId="33" borderId="11" xfId="42" applyNumberFormat="1" applyFont="1" applyFill="1" applyBorder="1" applyAlignment="1">
      <alignment horizontal="center" vertical="center" wrapText="1"/>
    </xf>
    <xf numFmtId="165" fontId="47" fillId="33" borderId="10" xfId="42" applyNumberFormat="1" applyFont="1" applyFill="1" applyBorder="1" applyAlignment="1">
      <alignment horizontal="center" vertical="center" wrapText="1"/>
    </xf>
    <xf numFmtId="165" fontId="47" fillId="33" borderId="12" xfId="42" applyNumberFormat="1" applyFont="1" applyFill="1" applyBorder="1" applyAlignment="1">
      <alignment horizontal="center" vertical="center" wrapText="1"/>
    </xf>
    <xf numFmtId="165" fontId="50" fillId="34" borderId="23" xfId="42" applyNumberFormat="1" applyFont="1" applyFill="1" applyBorder="1" applyAlignment="1">
      <alignment horizontal="center" vertical="center" wrapText="1"/>
    </xf>
    <xf numFmtId="165" fontId="50" fillId="34" borderId="24" xfId="42" applyNumberFormat="1" applyFont="1" applyFill="1" applyBorder="1" applyAlignment="1">
      <alignment horizontal="center" vertical="center" wrapText="1"/>
    </xf>
    <xf numFmtId="165" fontId="50" fillId="34" borderId="25" xfId="42" applyNumberFormat="1" applyFont="1" applyFill="1" applyBorder="1" applyAlignment="1">
      <alignment horizontal="center" vertical="center" wrapText="1"/>
    </xf>
    <xf numFmtId="165" fontId="47" fillId="34" borderId="11" xfId="42" applyNumberFormat="1" applyFont="1" applyFill="1" applyBorder="1" applyAlignment="1">
      <alignment horizontal="center" vertical="center" wrapText="1"/>
    </xf>
    <xf numFmtId="165" fontId="47" fillId="34" borderId="10" xfId="42" applyNumberFormat="1" applyFont="1" applyFill="1" applyBorder="1" applyAlignment="1">
      <alignment horizontal="center" vertical="center" wrapText="1"/>
    </xf>
    <xf numFmtId="165" fontId="47" fillId="34" borderId="12" xfId="42" applyNumberFormat="1" applyFont="1" applyFill="1" applyBorder="1" applyAlignment="1">
      <alignment horizontal="center" vertical="center" wrapText="1"/>
    </xf>
    <xf numFmtId="165" fontId="2" fillId="34" borderId="11" xfId="42" applyNumberFormat="1" applyFont="1" applyFill="1" applyBorder="1" applyAlignment="1">
      <alignment horizontal="center" vertical="center" wrapText="1"/>
    </xf>
    <xf numFmtId="165" fontId="2" fillId="34" borderId="10" xfId="42" applyNumberFormat="1" applyFont="1" applyFill="1" applyBorder="1" applyAlignment="1">
      <alignment horizontal="center" vertical="center" wrapText="1"/>
    </xf>
    <xf numFmtId="165" fontId="2" fillId="34" borderId="12" xfId="42" applyNumberFormat="1" applyFont="1" applyFill="1" applyBorder="1" applyAlignment="1">
      <alignment horizontal="center" vertical="center" wrapText="1"/>
    </xf>
    <xf numFmtId="43" fontId="50" fillId="35" borderId="14" xfId="42" applyFont="1" applyFill="1" applyBorder="1" applyAlignment="1">
      <alignment horizontal="center" vertical="center" wrapText="1"/>
    </xf>
    <xf numFmtId="165" fontId="51" fillId="35" borderId="14" xfId="42" applyNumberFormat="1" applyFont="1" applyFill="1" applyBorder="1" applyAlignment="1">
      <alignment horizontal="center" vertical="center" wrapText="1"/>
    </xf>
    <xf numFmtId="165" fontId="46" fillId="35" borderId="14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rightToLeft="1" tabSelected="1" zoomScale="55" zoomScaleNormal="55" zoomScalePageLayoutView="0" workbookViewId="0" topLeftCell="A1">
      <pane xSplit="1" ySplit="2" topLeftCell="J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6" sqref="A26:AI26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6.57421875" style="1" hidden="1" customWidth="1"/>
    <col min="4" max="4" width="5.140625" style="1" hidden="1" customWidth="1"/>
    <col min="5" max="5" width="8.7109375" style="1" hidden="1" customWidth="1"/>
    <col min="6" max="6" width="9.00390625" style="1" hidden="1" customWidth="1"/>
    <col min="7" max="7" width="9.57421875" style="1" hidden="1" customWidth="1"/>
    <col min="8" max="8" width="6.00390625" style="1" bestFit="1" customWidth="1"/>
    <col min="9" max="9" width="11.421875" style="1" customWidth="1"/>
    <col min="10" max="10" width="6.421875" style="1" customWidth="1"/>
    <col min="11" max="11" width="10.00390625" style="1" customWidth="1"/>
    <col min="12" max="12" width="10.28125" style="1" customWidth="1"/>
    <col min="13" max="13" width="6.57421875" style="1" customWidth="1"/>
    <col min="14" max="14" width="5.28125" style="1" customWidth="1"/>
    <col min="15" max="15" width="11.7109375" style="1" bestFit="1" customWidth="1"/>
    <col min="16" max="16" width="6.57421875" style="1" customWidth="1"/>
    <col min="17" max="17" width="8.8515625" style="1" customWidth="1"/>
    <col min="18" max="18" width="10.7109375" style="1" bestFit="1" customWidth="1"/>
    <col min="19" max="19" width="9.140625" style="1" customWidth="1"/>
    <col min="20" max="20" width="0" style="1" hidden="1" customWidth="1"/>
    <col min="21" max="21" width="9.57421875" style="1" hidden="1" customWidth="1"/>
    <col min="22" max="22" width="9.57421875" style="1" bestFit="1" customWidth="1"/>
    <col min="23" max="23" width="9.140625" style="1" customWidth="1"/>
    <col min="24" max="25" width="8.00390625" style="1" bestFit="1" customWidth="1"/>
    <col min="26" max="26" width="11.28125" style="1" customWidth="1"/>
    <col min="27" max="27" width="11.7109375" style="1" hidden="1" customWidth="1"/>
    <col min="28" max="28" width="11.8515625" style="14" customWidth="1"/>
    <col min="29" max="29" width="18.00390625" style="14" customWidth="1"/>
    <col min="30" max="31" width="11.28125" style="14" bestFit="1" customWidth="1"/>
    <col min="32" max="32" width="11.28125" style="14" customWidth="1"/>
    <col min="33" max="33" width="13.421875" style="14" customWidth="1"/>
    <col min="34" max="34" width="9.140625" style="89" customWidth="1"/>
    <col min="35" max="35" width="8.421875" style="1" customWidth="1"/>
    <col min="36" max="16384" width="9.140625" style="1" customWidth="1"/>
  </cols>
  <sheetData>
    <row r="1" spans="1:35" ht="24.75" customHeight="1">
      <c r="A1" s="179" t="s">
        <v>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1"/>
    </row>
    <row r="2" spans="1:35" s="76" customFormat="1" ht="263.25" thickBot="1">
      <c r="A2" s="93" t="s">
        <v>33</v>
      </c>
      <c r="B2" s="90" t="s">
        <v>34</v>
      </c>
      <c r="C2" s="90" t="s">
        <v>10</v>
      </c>
      <c r="D2" s="90" t="s">
        <v>7</v>
      </c>
      <c r="E2" s="90" t="s">
        <v>9</v>
      </c>
      <c r="F2" s="90" t="s">
        <v>43</v>
      </c>
      <c r="G2" s="90" t="s">
        <v>44</v>
      </c>
      <c r="H2" s="90" t="s">
        <v>3</v>
      </c>
      <c r="I2" s="90" t="s">
        <v>1</v>
      </c>
      <c r="J2" s="90" t="s">
        <v>2</v>
      </c>
      <c r="K2" s="90" t="s">
        <v>45</v>
      </c>
      <c r="L2" s="90" t="s">
        <v>46</v>
      </c>
      <c r="M2" s="90" t="s">
        <v>5</v>
      </c>
      <c r="N2" s="90" t="s">
        <v>27</v>
      </c>
      <c r="O2" s="90" t="s">
        <v>26</v>
      </c>
      <c r="P2" s="90" t="s">
        <v>35</v>
      </c>
      <c r="Q2" s="90" t="s">
        <v>55</v>
      </c>
      <c r="R2" s="90" t="s">
        <v>53</v>
      </c>
      <c r="S2" s="90" t="s">
        <v>47</v>
      </c>
      <c r="T2" s="90" t="s">
        <v>48</v>
      </c>
      <c r="U2" s="90" t="s">
        <v>49</v>
      </c>
      <c r="V2" s="90" t="s">
        <v>52</v>
      </c>
      <c r="W2" s="90" t="s">
        <v>50</v>
      </c>
      <c r="X2" s="90" t="s">
        <v>12</v>
      </c>
      <c r="Y2" s="90" t="s">
        <v>56</v>
      </c>
      <c r="Z2" s="90" t="s">
        <v>57</v>
      </c>
      <c r="AA2" s="90" t="s">
        <v>54</v>
      </c>
      <c r="AB2" s="90" t="s">
        <v>51</v>
      </c>
      <c r="AC2" s="90" t="s">
        <v>58</v>
      </c>
      <c r="AD2" s="90" t="s">
        <v>59</v>
      </c>
      <c r="AE2" s="90" t="s">
        <v>60</v>
      </c>
      <c r="AF2" s="90" t="s">
        <v>61</v>
      </c>
      <c r="AG2" s="90" t="s">
        <v>66</v>
      </c>
      <c r="AH2" s="94" t="s">
        <v>64</v>
      </c>
      <c r="AI2" s="94" t="s">
        <v>65</v>
      </c>
    </row>
    <row r="3" spans="1:35" ht="30">
      <c r="A3" s="167" t="s">
        <v>0</v>
      </c>
      <c r="B3" s="30" t="s">
        <v>17</v>
      </c>
      <c r="C3" s="15" t="s">
        <v>11</v>
      </c>
      <c r="D3" s="15" t="s">
        <v>8</v>
      </c>
      <c r="E3" s="15">
        <v>550000</v>
      </c>
      <c r="F3" s="16">
        <f>G3/E3</f>
        <v>7.004003636363636</v>
      </c>
      <c r="G3" s="15">
        <v>3852202</v>
      </c>
      <c r="H3" s="15" t="s">
        <v>4</v>
      </c>
      <c r="I3" s="15">
        <v>354538462</v>
      </c>
      <c r="J3" s="15">
        <v>20150</v>
      </c>
      <c r="K3" s="15">
        <f>I3*J3/1000000</f>
        <v>7143950.0093</v>
      </c>
      <c r="L3" s="15">
        <v>8285556</v>
      </c>
      <c r="M3" s="36" t="s">
        <v>6</v>
      </c>
      <c r="N3" s="36" t="s">
        <v>28</v>
      </c>
      <c r="O3" s="15">
        <v>46824</v>
      </c>
      <c r="P3" s="15">
        <f>O3*0.0283168</f>
        <v>1325.9058432</v>
      </c>
      <c r="Q3" s="58">
        <f>S3/P3</f>
        <v>1222.951847083315</v>
      </c>
      <c r="R3" s="58">
        <f>(Q3*100)/12260</f>
        <v>9.975137415035196</v>
      </c>
      <c r="S3" s="15">
        <v>1621519</v>
      </c>
      <c r="T3" s="15">
        <v>2666240</v>
      </c>
      <c r="U3" s="15">
        <v>4476359</v>
      </c>
      <c r="V3" s="15">
        <v>4876359</v>
      </c>
      <c r="W3" s="15">
        <v>1000000</v>
      </c>
      <c r="X3" s="58">
        <f>V3/(W3/1000)</f>
        <v>4876.359</v>
      </c>
      <c r="Y3" s="170">
        <f>$R$25*245.8</f>
        <v>1720.6000000000001</v>
      </c>
      <c r="Z3" s="170">
        <f>S4+((P3/2)*Y3)</f>
        <v>1802671.79690496</v>
      </c>
      <c r="AA3" s="170">
        <f>S3-Z3</f>
        <v>-181152.79690495995</v>
      </c>
      <c r="AB3" s="137">
        <f>AA3/(W3/1000)</f>
        <v>-181.15279690495996</v>
      </c>
      <c r="AC3" s="137">
        <f>(I4*(32486-J4))/1000000</f>
        <v>1022111.834736</v>
      </c>
      <c r="AD3" s="137">
        <f>AC3/(W3/1000)</f>
        <v>1022.111834736</v>
      </c>
      <c r="AE3" s="137">
        <f>AD3+AB3</f>
        <v>840.9590378310401</v>
      </c>
      <c r="AF3" s="137">
        <f>(AE3/X3)*100</f>
        <v>17.24563424946851</v>
      </c>
      <c r="AG3" s="137">
        <v>24637</v>
      </c>
      <c r="AH3" s="119">
        <f>AG3/X3</f>
        <v>5.052335154159076</v>
      </c>
      <c r="AI3" s="98">
        <f>AG3/(X3*(1+(AF3/100)))</f>
        <v>4.309188300699546</v>
      </c>
    </row>
    <row r="4" spans="1:35" ht="27.75" customHeight="1">
      <c r="A4" s="168"/>
      <c r="B4" s="2" t="s">
        <v>13</v>
      </c>
      <c r="C4" s="2" t="s">
        <v>11</v>
      </c>
      <c r="D4" s="2" t="s">
        <v>8</v>
      </c>
      <c r="E4" s="2">
        <v>242000</v>
      </c>
      <c r="F4" s="3">
        <f aca="true" t="shared" si="0" ref="F4:F22">G4/E4</f>
        <v>7.221082644628099</v>
      </c>
      <c r="G4" s="2">
        <v>1747502</v>
      </c>
      <c r="H4" s="2" t="s">
        <v>4</v>
      </c>
      <c r="I4" s="2">
        <v>142196972</v>
      </c>
      <c r="J4" s="2">
        <v>25298</v>
      </c>
      <c r="K4" s="2">
        <f>I4*J4/1000000</f>
        <v>3597298.997656</v>
      </c>
      <c r="L4" s="2">
        <v>3597299</v>
      </c>
      <c r="M4" s="37" t="s">
        <v>6</v>
      </c>
      <c r="N4" s="37" t="s">
        <v>28</v>
      </c>
      <c r="O4" s="2">
        <v>19116</v>
      </c>
      <c r="P4" s="2">
        <f>O4*0.0283168</f>
        <v>541.3039488</v>
      </c>
      <c r="Q4" s="52">
        <f>S4/P4</f>
        <v>1222.9635521180962</v>
      </c>
      <c r="R4" s="52">
        <f aca="true" t="shared" si="1" ref="R4:R24">(Q4*100)/12260</f>
        <v>9.97523288840209</v>
      </c>
      <c r="S4" s="2">
        <v>661995</v>
      </c>
      <c r="T4" s="2">
        <v>948117</v>
      </c>
      <c r="U4" s="2">
        <v>2543856</v>
      </c>
      <c r="V4" s="2">
        <v>2830701</v>
      </c>
      <c r="W4" s="2">
        <v>1000000</v>
      </c>
      <c r="X4" s="52">
        <f>V4/(W4/1000)</f>
        <v>2830.701</v>
      </c>
      <c r="Y4" s="171"/>
      <c r="Z4" s="171"/>
      <c r="AA4" s="171"/>
      <c r="AB4" s="138"/>
      <c r="AC4" s="138"/>
      <c r="AD4" s="138"/>
      <c r="AE4" s="138"/>
      <c r="AF4" s="138"/>
      <c r="AG4" s="138"/>
      <c r="AH4" s="120"/>
      <c r="AI4" s="99"/>
    </row>
    <row r="5" spans="1:35" ht="27.75" customHeight="1" thickBot="1">
      <c r="A5" s="169"/>
      <c r="B5" s="17" t="s">
        <v>31</v>
      </c>
      <c r="C5" s="17"/>
      <c r="D5" s="17"/>
      <c r="E5" s="17">
        <f>E4/E3*100</f>
        <v>44</v>
      </c>
      <c r="F5" s="17"/>
      <c r="G5" s="17">
        <f aca="true" t="shared" si="2" ref="G5:X5">G4/G3*100</f>
        <v>45.36371664829622</v>
      </c>
      <c r="H5" s="17"/>
      <c r="I5" s="17">
        <f t="shared" si="2"/>
        <v>40.10762928169977</v>
      </c>
      <c r="J5" s="17"/>
      <c r="K5" s="17">
        <f t="shared" si="2"/>
        <v>50.35448166592757</v>
      </c>
      <c r="L5" s="17">
        <f t="shared" si="2"/>
        <v>43.41650699120252</v>
      </c>
      <c r="M5" s="38"/>
      <c r="N5" s="38"/>
      <c r="O5" s="17">
        <f t="shared" si="2"/>
        <v>40.82521783700666</v>
      </c>
      <c r="P5" s="17"/>
      <c r="Q5" s="59"/>
      <c r="R5" s="59">
        <f t="shared" si="1"/>
        <v>0</v>
      </c>
      <c r="S5" s="17">
        <f t="shared" si="2"/>
        <v>40.82560858059634</v>
      </c>
      <c r="T5" s="17">
        <f t="shared" si="2"/>
        <v>35.56007711233797</v>
      </c>
      <c r="U5" s="17">
        <f t="shared" si="2"/>
        <v>56.82868599234333</v>
      </c>
      <c r="V5" s="17">
        <f t="shared" si="2"/>
        <v>58.04947912981796</v>
      </c>
      <c r="W5" s="17"/>
      <c r="X5" s="59">
        <f t="shared" si="2"/>
        <v>58.04947912981796</v>
      </c>
      <c r="Y5" s="172"/>
      <c r="Z5" s="172"/>
      <c r="AA5" s="172"/>
      <c r="AB5" s="139"/>
      <c r="AC5" s="139"/>
      <c r="AD5" s="139"/>
      <c r="AE5" s="139"/>
      <c r="AF5" s="139"/>
      <c r="AG5" s="139"/>
      <c r="AH5" s="121"/>
      <c r="AI5" s="100"/>
    </row>
    <row r="6" spans="1:35" ht="27.75" customHeight="1">
      <c r="A6" s="182" t="s">
        <v>14</v>
      </c>
      <c r="B6" s="31" t="s">
        <v>17</v>
      </c>
      <c r="C6" s="18" t="s">
        <v>11</v>
      </c>
      <c r="D6" s="18" t="s">
        <v>8</v>
      </c>
      <c r="E6" s="18">
        <v>2400000</v>
      </c>
      <c r="F6" s="19">
        <f t="shared" si="0"/>
        <v>7.119834583333334</v>
      </c>
      <c r="G6" s="18">
        <v>17087603</v>
      </c>
      <c r="H6" s="18" t="s">
        <v>15</v>
      </c>
      <c r="I6" s="18">
        <v>1079779500</v>
      </c>
      <c r="J6" s="18">
        <v>12260</v>
      </c>
      <c r="K6" s="18">
        <f aca="true" t="shared" si="3" ref="K6:K23">I6*J6/1000000</f>
        <v>13238096.67</v>
      </c>
      <c r="L6" s="18">
        <v>17229639</v>
      </c>
      <c r="M6" s="39" t="s">
        <v>36</v>
      </c>
      <c r="N6" s="39" t="s">
        <v>29</v>
      </c>
      <c r="O6" s="18">
        <f>2134594000</f>
        <v>2134594000</v>
      </c>
      <c r="P6" s="18">
        <f>O6/1000000</f>
        <v>2134.594</v>
      </c>
      <c r="Q6" s="60">
        <f>S6/P6</f>
        <v>734.9997236008346</v>
      </c>
      <c r="R6" s="60">
        <f t="shared" si="1"/>
        <v>5.995103781409743</v>
      </c>
      <c r="S6" s="18">
        <v>1568926</v>
      </c>
      <c r="T6" s="18">
        <v>5189334</v>
      </c>
      <c r="U6" s="18">
        <v>8150838</v>
      </c>
      <c r="V6" s="18">
        <v>7662170</v>
      </c>
      <c r="W6" s="18">
        <v>2400000</v>
      </c>
      <c r="X6" s="60">
        <f aca="true" t="shared" si="4" ref="X6:X22">V6/(W6/1000)</f>
        <v>3192.570833333333</v>
      </c>
      <c r="Y6" s="185">
        <f>$R$25*245.8</f>
        <v>1720.6000000000001</v>
      </c>
      <c r="Z6" s="185">
        <f>S7+((P6/2)*Y6)</f>
        <v>2442851.2182</v>
      </c>
      <c r="AA6" s="185">
        <f>S6-Z6</f>
        <v>-873925.2182</v>
      </c>
      <c r="AB6" s="140">
        <f>AA6/(W6/1000)</f>
        <v>-364.1355075833333</v>
      </c>
      <c r="AC6" s="140">
        <f>(I7*(24580-J7))/1000000</f>
        <v>1229188.22429</v>
      </c>
      <c r="AD6" s="140">
        <f>AC6/(W6/1000)</f>
        <v>512.1617601208334</v>
      </c>
      <c r="AE6" s="140">
        <f>AD6+AB6</f>
        <v>148.02625253750006</v>
      </c>
      <c r="AF6" s="140">
        <f>(AE6/X6)*100</f>
        <v>4.636584754579971</v>
      </c>
      <c r="AG6" s="140">
        <v>18593</v>
      </c>
      <c r="AH6" s="122">
        <f>AG6/X6</f>
        <v>5.823833196078918</v>
      </c>
      <c r="AI6" s="101">
        <f>AG6/(X6*(1+(AF6/100)))</f>
        <v>5.565771483978033</v>
      </c>
    </row>
    <row r="7" spans="1:35" ht="27.75" customHeight="1">
      <c r="A7" s="183"/>
      <c r="B7" s="4" t="s">
        <v>13</v>
      </c>
      <c r="C7" s="4" t="s">
        <v>11</v>
      </c>
      <c r="D7" s="4" t="s">
        <v>8</v>
      </c>
      <c r="E7" s="4">
        <v>844291</v>
      </c>
      <c r="F7" s="5">
        <f t="shared" si="0"/>
        <v>6.98378994919998</v>
      </c>
      <c r="G7" s="4">
        <v>5896351</v>
      </c>
      <c r="H7" s="4" t="s">
        <v>15</v>
      </c>
      <c r="I7" s="4">
        <v>285658430</v>
      </c>
      <c r="J7" s="4">
        <v>20277</v>
      </c>
      <c r="K7" s="4">
        <f t="shared" si="3"/>
        <v>5792295.98511</v>
      </c>
      <c r="L7" s="4">
        <v>5920896</v>
      </c>
      <c r="M7" s="40" t="s">
        <v>37</v>
      </c>
      <c r="N7" s="40" t="s">
        <v>29</v>
      </c>
      <c r="O7" s="4">
        <f>790175546</f>
        <v>790175546</v>
      </c>
      <c r="P7" s="4">
        <f>O7/1000000</f>
        <v>790.175546</v>
      </c>
      <c r="Q7" s="53">
        <f>S7/P7</f>
        <v>767.5003397283064</v>
      </c>
      <c r="R7" s="53">
        <f t="shared" si="1"/>
        <v>6.260198529594669</v>
      </c>
      <c r="S7" s="4">
        <v>606460</v>
      </c>
      <c r="T7" s="4">
        <v>1680939</v>
      </c>
      <c r="U7" s="4">
        <v>3148935</v>
      </c>
      <c r="V7" s="4">
        <v>2829666</v>
      </c>
      <c r="W7" s="4">
        <v>2400000</v>
      </c>
      <c r="X7" s="53">
        <f t="shared" si="4"/>
        <v>1179.0275</v>
      </c>
      <c r="Y7" s="186"/>
      <c r="Z7" s="186"/>
      <c r="AA7" s="186"/>
      <c r="AB7" s="141"/>
      <c r="AC7" s="141"/>
      <c r="AD7" s="141"/>
      <c r="AE7" s="141"/>
      <c r="AF7" s="141"/>
      <c r="AG7" s="141"/>
      <c r="AH7" s="123"/>
      <c r="AI7" s="102"/>
    </row>
    <row r="8" spans="1:35" ht="27.75" customHeight="1" thickBot="1">
      <c r="A8" s="184"/>
      <c r="B8" s="20" t="s">
        <v>31</v>
      </c>
      <c r="C8" s="20"/>
      <c r="D8" s="20"/>
      <c r="E8" s="20">
        <f>E7/E6*100</f>
        <v>35.17879166666666</v>
      </c>
      <c r="F8" s="20"/>
      <c r="G8" s="20">
        <f>G7/G6*100</f>
        <v>34.50660107213399</v>
      </c>
      <c r="H8" s="20"/>
      <c r="I8" s="20">
        <f>I7/I6*100</f>
        <v>26.4552559110448</v>
      </c>
      <c r="J8" s="20"/>
      <c r="K8" s="20">
        <f>K7/K6*100</f>
        <v>43.75474911160321</v>
      </c>
      <c r="L8" s="20">
        <f>L7/L6*100</f>
        <v>34.3645969599247</v>
      </c>
      <c r="M8" s="41"/>
      <c r="N8" s="41"/>
      <c r="O8" s="20">
        <f>O7/O6*100</f>
        <v>37.01760362860572</v>
      </c>
      <c r="P8" s="20"/>
      <c r="Q8" s="61"/>
      <c r="R8" s="61">
        <f t="shared" si="1"/>
        <v>0</v>
      </c>
      <c r="S8" s="20">
        <f>S7/S6*100</f>
        <v>38.654468088361085</v>
      </c>
      <c r="T8" s="20">
        <f>T7/T6*100</f>
        <v>32.39219136790964</v>
      </c>
      <c r="U8" s="20">
        <f>U7/U6*100</f>
        <v>38.63326691071519</v>
      </c>
      <c r="V8" s="20">
        <f>V7/V6*100</f>
        <v>36.93034740811024</v>
      </c>
      <c r="W8" s="20"/>
      <c r="X8" s="61">
        <f>X7/X6*100</f>
        <v>36.93034740811023</v>
      </c>
      <c r="Y8" s="187"/>
      <c r="Z8" s="187"/>
      <c r="AA8" s="187"/>
      <c r="AB8" s="142"/>
      <c r="AC8" s="142"/>
      <c r="AD8" s="142"/>
      <c r="AE8" s="142"/>
      <c r="AF8" s="142"/>
      <c r="AG8" s="142"/>
      <c r="AH8" s="124"/>
      <c r="AI8" s="103"/>
    </row>
    <row r="9" spans="1:35" ht="27.75" customHeight="1">
      <c r="A9" s="173" t="s">
        <v>16</v>
      </c>
      <c r="B9" s="32" t="s">
        <v>17</v>
      </c>
      <c r="C9" s="21" t="s">
        <v>11</v>
      </c>
      <c r="D9" s="21" t="s">
        <v>8</v>
      </c>
      <c r="E9" s="21">
        <v>724000</v>
      </c>
      <c r="F9" s="22">
        <f t="shared" si="0"/>
        <v>6.074646408839779</v>
      </c>
      <c r="G9" s="21">
        <v>4398044</v>
      </c>
      <c r="H9" s="21" t="s">
        <v>15</v>
      </c>
      <c r="I9" s="21">
        <v>256750000</v>
      </c>
      <c r="J9" s="21">
        <v>12260</v>
      </c>
      <c r="K9" s="21">
        <f t="shared" si="3"/>
        <v>3147755</v>
      </c>
      <c r="L9" s="21">
        <v>5564664</v>
      </c>
      <c r="M9" s="42" t="s">
        <v>25</v>
      </c>
      <c r="N9" s="42" t="s">
        <v>29</v>
      </c>
      <c r="O9" s="21">
        <v>661</v>
      </c>
      <c r="P9" s="21">
        <f>O9</f>
        <v>661</v>
      </c>
      <c r="Q9" s="62">
        <f>S9/O9</f>
        <v>1469.5234493192133</v>
      </c>
      <c r="R9" s="62">
        <f t="shared" si="1"/>
        <v>11.986325035230125</v>
      </c>
      <c r="S9" s="21">
        <v>971355</v>
      </c>
      <c r="T9" s="21">
        <v>2444559</v>
      </c>
      <c r="U9" s="21">
        <v>2684376</v>
      </c>
      <c r="V9" s="21">
        <v>2670260</v>
      </c>
      <c r="W9" s="21">
        <v>950000</v>
      </c>
      <c r="X9" s="62">
        <f t="shared" si="4"/>
        <v>2810.8</v>
      </c>
      <c r="Y9" s="176">
        <f>$R$25*245.8</f>
        <v>1720.6000000000001</v>
      </c>
      <c r="Z9" s="176">
        <f>S10+((P9/2)*Y9)</f>
        <v>1098586.3</v>
      </c>
      <c r="AA9" s="176">
        <f>S9-Z9</f>
        <v>-127231.30000000005</v>
      </c>
      <c r="AB9" s="143">
        <f>AA9/(W9/1000)</f>
        <v>-133.92768421052637</v>
      </c>
      <c r="AC9" s="143">
        <f>(I10*(24580-J10))/1000000</f>
        <v>597045.49425</v>
      </c>
      <c r="AD9" s="143">
        <f>AC9/(W9/1000)</f>
        <v>628.4689413157895</v>
      </c>
      <c r="AE9" s="143">
        <f>AD9+AB9</f>
        <v>494.5412571052631</v>
      </c>
      <c r="AF9" s="143">
        <f>(AE9/X9)*100</f>
        <v>17.594323932875447</v>
      </c>
      <c r="AG9" s="143">
        <v>17431</v>
      </c>
      <c r="AH9" s="125">
        <f>AG9/X9</f>
        <v>6.201437313220435</v>
      </c>
      <c r="AI9" s="104">
        <f>AG9/(X9*(1+(AF9/100)))</f>
        <v>5.273585582889448</v>
      </c>
    </row>
    <row r="10" spans="1:35" ht="27.75" customHeight="1">
      <c r="A10" s="174"/>
      <c r="B10" s="6" t="s">
        <v>13</v>
      </c>
      <c r="C10" s="6" t="s">
        <v>11</v>
      </c>
      <c r="D10" s="6" t="s">
        <v>8</v>
      </c>
      <c r="E10" s="6">
        <v>335000</v>
      </c>
      <c r="F10" s="7">
        <f t="shared" si="0"/>
        <v>6.361507462686567</v>
      </c>
      <c r="G10" s="6">
        <v>2131105</v>
      </c>
      <c r="H10" s="6" t="s">
        <v>15</v>
      </c>
      <c r="I10" s="6">
        <v>114005250</v>
      </c>
      <c r="J10" s="6">
        <v>19343</v>
      </c>
      <c r="K10" s="6">
        <f t="shared" si="3"/>
        <v>2205203.55075</v>
      </c>
      <c r="L10" s="6">
        <v>2798694</v>
      </c>
      <c r="M10" s="43" t="s">
        <v>25</v>
      </c>
      <c r="N10" s="43" t="s">
        <v>29</v>
      </c>
      <c r="O10" s="6">
        <v>355</v>
      </c>
      <c r="P10" s="6">
        <f>O10</f>
        <v>355</v>
      </c>
      <c r="Q10" s="54">
        <f>S10/O10</f>
        <v>1492.7549295774647</v>
      </c>
      <c r="R10" s="54">
        <f t="shared" si="1"/>
        <v>12.17581508627622</v>
      </c>
      <c r="S10" s="6">
        <v>529928</v>
      </c>
      <c r="T10" s="6">
        <v>1195417</v>
      </c>
      <c r="U10" s="6">
        <v>1780710</v>
      </c>
      <c r="V10" s="6">
        <v>1695801</v>
      </c>
      <c r="W10" s="6">
        <v>950000</v>
      </c>
      <c r="X10" s="54">
        <f t="shared" si="4"/>
        <v>1785.0536842105264</v>
      </c>
      <c r="Y10" s="177"/>
      <c r="Z10" s="177"/>
      <c r="AA10" s="177"/>
      <c r="AB10" s="144"/>
      <c r="AC10" s="144"/>
      <c r="AD10" s="144"/>
      <c r="AE10" s="144"/>
      <c r="AF10" s="144"/>
      <c r="AG10" s="144"/>
      <c r="AH10" s="126"/>
      <c r="AI10" s="105"/>
    </row>
    <row r="11" spans="1:35" ht="27.75" customHeight="1" thickBot="1">
      <c r="A11" s="175"/>
      <c r="B11" s="23" t="s">
        <v>31</v>
      </c>
      <c r="C11" s="23"/>
      <c r="D11" s="23"/>
      <c r="E11" s="23">
        <f>E10/E9*100</f>
        <v>46.2707182320442</v>
      </c>
      <c r="F11" s="23"/>
      <c r="G11" s="23">
        <f>G10/G9*100</f>
        <v>48.45574532678618</v>
      </c>
      <c r="H11" s="23"/>
      <c r="I11" s="23">
        <f>I10/I9*100</f>
        <v>44.403213242453745</v>
      </c>
      <c r="J11" s="23"/>
      <c r="K11" s="23">
        <f>K10/K9*100</f>
        <v>70.05639100724167</v>
      </c>
      <c r="L11" s="23">
        <f>L10/L9*100</f>
        <v>50.29403392549847</v>
      </c>
      <c r="M11" s="44"/>
      <c r="N11" s="44"/>
      <c r="O11" s="23">
        <f>O10/O9*100</f>
        <v>53.70650529500757</v>
      </c>
      <c r="P11" s="23"/>
      <c r="Q11" s="63"/>
      <c r="R11" s="63">
        <f t="shared" si="1"/>
        <v>0</v>
      </c>
      <c r="S11" s="23">
        <f>S10/S9*100</f>
        <v>54.555543544842</v>
      </c>
      <c r="T11" s="23">
        <f>T10/T9*100</f>
        <v>48.901131042449784</v>
      </c>
      <c r="U11" s="23">
        <f>U10/U9*100</f>
        <v>66.336087045928</v>
      </c>
      <c r="V11" s="23">
        <f>V10/V9*100</f>
        <v>63.50696186888168</v>
      </c>
      <c r="W11" s="23"/>
      <c r="X11" s="63">
        <f>X10/X9*100</f>
        <v>63.50696186888168</v>
      </c>
      <c r="Y11" s="178"/>
      <c r="Z11" s="178"/>
      <c r="AA11" s="178"/>
      <c r="AB11" s="145"/>
      <c r="AC11" s="145"/>
      <c r="AD11" s="145"/>
      <c r="AE11" s="145"/>
      <c r="AF11" s="145"/>
      <c r="AG11" s="145"/>
      <c r="AH11" s="127"/>
      <c r="AI11" s="106"/>
    </row>
    <row r="12" spans="1:35" ht="27.75" customHeight="1">
      <c r="A12" s="188" t="s">
        <v>18</v>
      </c>
      <c r="B12" s="64" t="s">
        <v>22</v>
      </c>
      <c r="C12" s="65" t="s">
        <v>24</v>
      </c>
      <c r="D12" s="65" t="s">
        <v>8</v>
      </c>
      <c r="E12" s="65">
        <v>1935000</v>
      </c>
      <c r="F12" s="66">
        <f>G12/E12</f>
        <v>8.176577777777778</v>
      </c>
      <c r="G12" s="65">
        <v>15821678</v>
      </c>
      <c r="H12" s="65" t="s">
        <v>15</v>
      </c>
      <c r="I12" s="65">
        <v>425599592</v>
      </c>
      <c r="J12" s="65">
        <v>12260</v>
      </c>
      <c r="K12" s="65">
        <f>I12*J12/1000000</f>
        <v>5217850.99792</v>
      </c>
      <c r="L12" s="65">
        <v>16318485</v>
      </c>
      <c r="M12" s="67" t="s">
        <v>38</v>
      </c>
      <c r="N12" s="67" t="s">
        <v>29</v>
      </c>
      <c r="O12" s="65">
        <f>1173945125</f>
        <v>1173945125</v>
      </c>
      <c r="P12" s="65">
        <f>O12/1000000</f>
        <v>1173.945125</v>
      </c>
      <c r="Q12" s="68">
        <f>S12/P12</f>
        <v>768.0001226633144</v>
      </c>
      <c r="R12" s="68">
        <f t="shared" si="1"/>
        <v>6.264275062506643</v>
      </c>
      <c r="S12" s="65">
        <v>901590</v>
      </c>
      <c r="T12" s="65">
        <v>2885997</v>
      </c>
      <c r="U12" s="65">
        <v>14387094</v>
      </c>
      <c r="V12" s="65">
        <v>12238864</v>
      </c>
      <c r="W12" s="65">
        <v>1000000</v>
      </c>
      <c r="X12" s="68">
        <f>V12/(W12/1000)</f>
        <v>12238.864</v>
      </c>
      <c r="Y12" s="191">
        <f>$R$25*245.8</f>
        <v>1720.6000000000001</v>
      </c>
      <c r="Z12" s="191">
        <f>S13+((P12/4)*Y12)</f>
        <v>1203807.49551875</v>
      </c>
      <c r="AA12" s="191">
        <f>S12-Z12</f>
        <v>-302217.49551875005</v>
      </c>
      <c r="AB12" s="146">
        <f>AA12/(W12/1000)</f>
        <v>-302.21749551875007</v>
      </c>
      <c r="AC12" s="146">
        <f>((I13/3)*(24580-J13))/1000000</f>
        <v>1265410.17776</v>
      </c>
      <c r="AD12" s="146">
        <f>AC12/(W12/1000)</f>
        <v>1265.4101777600001</v>
      </c>
      <c r="AE12" s="146">
        <f>AD12+AB12</f>
        <v>963.19268224125</v>
      </c>
      <c r="AF12" s="146">
        <f>(AE12/X12)*100</f>
        <v>7.869951673956424</v>
      </c>
      <c r="AG12" s="146">
        <v>57911</v>
      </c>
      <c r="AH12" s="128">
        <f>AG12/X12</f>
        <v>4.73173000369969</v>
      </c>
      <c r="AI12" s="107">
        <f>AG12/(X12*(1+(AF12/100)))</f>
        <v>4.3865135102698805</v>
      </c>
    </row>
    <row r="13" spans="1:35" ht="27.75" customHeight="1">
      <c r="A13" s="189"/>
      <c r="B13" s="12" t="s">
        <v>23</v>
      </c>
      <c r="C13" s="12" t="s">
        <v>24</v>
      </c>
      <c r="D13" s="12" t="s">
        <v>8</v>
      </c>
      <c r="E13" s="12">
        <v>1427346</v>
      </c>
      <c r="F13" s="13">
        <f>G13/E13</f>
        <v>7.2211839315765065</v>
      </c>
      <c r="G13" s="12">
        <v>10307128</v>
      </c>
      <c r="H13" s="12" t="s">
        <v>15</v>
      </c>
      <c r="I13" s="12">
        <v>556958705</v>
      </c>
      <c r="J13" s="12">
        <v>17764</v>
      </c>
      <c r="K13" s="12">
        <f>I13*J13/1000000</f>
        <v>9893814.43562</v>
      </c>
      <c r="L13" s="12">
        <v>10803935</v>
      </c>
      <c r="M13" s="51" t="s">
        <v>38</v>
      </c>
      <c r="N13" s="51" t="s">
        <v>29</v>
      </c>
      <c r="O13" s="12">
        <f>922748000</f>
        <v>922748000</v>
      </c>
      <c r="P13" s="12">
        <f>O13/1000000</f>
        <v>922.748</v>
      </c>
      <c r="Q13" s="55">
        <f>S13/P13</f>
        <v>757.3411158842933</v>
      </c>
      <c r="R13" s="55">
        <f t="shared" si="1"/>
        <v>6.177333734782165</v>
      </c>
      <c r="S13" s="12">
        <v>698835</v>
      </c>
      <c r="T13" s="12">
        <v>2144469</v>
      </c>
      <c r="U13" s="12">
        <v>8781298</v>
      </c>
      <c r="V13" s="12">
        <v>7135775</v>
      </c>
      <c r="W13" s="12">
        <v>1000000</v>
      </c>
      <c r="X13" s="55">
        <f>V13/(W13/1000)</f>
        <v>7135.775</v>
      </c>
      <c r="Y13" s="192"/>
      <c r="Z13" s="192"/>
      <c r="AA13" s="192"/>
      <c r="AB13" s="147"/>
      <c r="AC13" s="147"/>
      <c r="AD13" s="147"/>
      <c r="AE13" s="147"/>
      <c r="AF13" s="147"/>
      <c r="AG13" s="147"/>
      <c r="AH13" s="129"/>
      <c r="AI13" s="108"/>
    </row>
    <row r="14" spans="1:35" ht="27.75" customHeight="1" thickBot="1">
      <c r="A14" s="190"/>
      <c r="B14" s="69" t="s">
        <v>31</v>
      </c>
      <c r="C14" s="69"/>
      <c r="D14" s="69"/>
      <c r="E14" s="69">
        <f>E13/E12*100</f>
        <v>73.7646511627907</v>
      </c>
      <c r="F14" s="69"/>
      <c r="G14" s="69">
        <f>G13/G12*100</f>
        <v>65.14560592119243</v>
      </c>
      <c r="H14" s="69"/>
      <c r="I14" s="69">
        <f>I13/I12*100</f>
        <v>130.86448283061324</v>
      </c>
      <c r="J14" s="69"/>
      <c r="K14" s="69">
        <f>K13/K12*100</f>
        <v>189.61473678654272</v>
      </c>
      <c r="L14" s="69">
        <f>L13/L12*100</f>
        <v>66.20672813683377</v>
      </c>
      <c r="M14" s="70"/>
      <c r="N14" s="70"/>
      <c r="O14" s="69">
        <f>O13/O12*100</f>
        <v>78.60231115998714</v>
      </c>
      <c r="P14" s="69"/>
      <c r="Q14" s="71"/>
      <c r="R14" s="71">
        <f t="shared" si="1"/>
        <v>0</v>
      </c>
      <c r="S14" s="69">
        <f>S13/S12*100</f>
        <v>77.51139653279206</v>
      </c>
      <c r="T14" s="69">
        <f>T13/T12*100</f>
        <v>74.30600239709189</v>
      </c>
      <c r="U14" s="69">
        <f>U13/U12*100</f>
        <v>61.03593957195247</v>
      </c>
      <c r="V14" s="69">
        <f>V13/V12*100</f>
        <v>58.30422660142314</v>
      </c>
      <c r="W14" s="69"/>
      <c r="X14" s="71">
        <f>X13/X12*100</f>
        <v>58.30422660142314</v>
      </c>
      <c r="Y14" s="193"/>
      <c r="Z14" s="193"/>
      <c r="AA14" s="193"/>
      <c r="AB14" s="148"/>
      <c r="AC14" s="148"/>
      <c r="AD14" s="148"/>
      <c r="AE14" s="148"/>
      <c r="AF14" s="148"/>
      <c r="AG14" s="148"/>
      <c r="AH14" s="130"/>
      <c r="AI14" s="109"/>
    </row>
    <row r="15" spans="1:35" ht="45">
      <c r="A15" s="161" t="s">
        <v>20</v>
      </c>
      <c r="B15" s="33" t="s">
        <v>17</v>
      </c>
      <c r="C15" s="33" t="s">
        <v>30</v>
      </c>
      <c r="D15" s="24" t="s">
        <v>8</v>
      </c>
      <c r="E15" s="24">
        <v>300000</v>
      </c>
      <c r="F15" s="25">
        <f>G15/E15</f>
        <v>17.014853333333335</v>
      </c>
      <c r="G15" s="24">
        <v>5104456</v>
      </c>
      <c r="H15" s="24" t="s">
        <v>15</v>
      </c>
      <c r="I15" s="24">
        <v>575482790</v>
      </c>
      <c r="J15" s="24">
        <v>12260</v>
      </c>
      <c r="K15" s="24">
        <f>I15*J15/1000000</f>
        <v>7055419.0054</v>
      </c>
      <c r="L15" s="24">
        <v>20676627</v>
      </c>
      <c r="M15" s="45" t="s">
        <v>39</v>
      </c>
      <c r="N15" s="45" t="s">
        <v>29</v>
      </c>
      <c r="O15" s="24">
        <f>6330800</f>
        <v>6330800</v>
      </c>
      <c r="P15" s="24">
        <f>O15/1406</f>
        <v>4502.7027027027025</v>
      </c>
      <c r="Q15" s="72">
        <f>S15/P15</f>
        <v>811.17924969988</v>
      </c>
      <c r="R15" s="72">
        <f t="shared" si="1"/>
        <v>6.616470225937031</v>
      </c>
      <c r="S15" s="24">
        <v>3652499</v>
      </c>
      <c r="T15" s="24">
        <v>8172861</v>
      </c>
      <c r="U15" s="24">
        <v>11725388</v>
      </c>
      <c r="V15" s="24">
        <v>14051932</v>
      </c>
      <c r="W15" s="24">
        <v>4000000</v>
      </c>
      <c r="X15" s="72">
        <f>V15/(W15/1000)</f>
        <v>3512.983</v>
      </c>
      <c r="Y15" s="164">
        <f>$R$25*245.8</f>
        <v>1720.6000000000001</v>
      </c>
      <c r="Z15" s="164">
        <f>S16+((P15/2)*Y15)</f>
        <v>5719380.135135135</v>
      </c>
      <c r="AA15" s="164">
        <f>S15-Z15</f>
        <v>-2066881.1351351347</v>
      </c>
      <c r="AB15" s="149">
        <f>AA15/(W15/1000)</f>
        <v>-516.7202837837837</v>
      </c>
      <c r="AC15" s="149">
        <f>(I16*(24580-J16))/1000000</f>
        <v>885113.399823</v>
      </c>
      <c r="AD15" s="149">
        <f>AC15/(W15/1000)</f>
        <v>221.27834995575</v>
      </c>
      <c r="AE15" s="149">
        <f>AD15+AB15</f>
        <v>-295.44193382803365</v>
      </c>
      <c r="AF15" s="149">
        <f>(AE15/X15)*100</f>
        <v>-8.410001808378624</v>
      </c>
      <c r="AG15" s="149">
        <v>25983</v>
      </c>
      <c r="AH15" s="131">
        <f>AG15/X15</f>
        <v>7.396278319593348</v>
      </c>
      <c r="AI15" s="110">
        <f>AG15/(X15*(1+(AF15/100)))</f>
        <v>8.075421405860402</v>
      </c>
    </row>
    <row r="16" spans="1:35" ht="45">
      <c r="A16" s="162"/>
      <c r="B16" s="8" t="s">
        <v>13</v>
      </c>
      <c r="C16" s="34" t="s">
        <v>30</v>
      </c>
      <c r="D16" s="8" t="s">
        <v>8</v>
      </c>
      <c r="E16" s="8">
        <v>125352</v>
      </c>
      <c r="F16" s="9">
        <f>G16/E16</f>
        <v>22.614812687472078</v>
      </c>
      <c r="G16" s="8">
        <v>2834812</v>
      </c>
      <c r="H16" s="8" t="s">
        <v>15</v>
      </c>
      <c r="I16" s="8">
        <v>169985289</v>
      </c>
      <c r="J16" s="8">
        <v>19373</v>
      </c>
      <c r="K16" s="8">
        <f>I16*J16/1000000</f>
        <v>3293125.003797</v>
      </c>
      <c r="L16" s="8">
        <v>10551095</v>
      </c>
      <c r="M16" s="46" t="s">
        <v>39</v>
      </c>
      <c r="N16" s="46" t="s">
        <v>29</v>
      </c>
      <c r="O16" s="8">
        <f>3084373</f>
        <v>3084373</v>
      </c>
      <c r="P16" s="8">
        <f>O16/1406</f>
        <v>2193.721906116643</v>
      </c>
      <c r="Q16" s="56">
        <f>S16/P16</f>
        <v>841.3577832512475</v>
      </c>
      <c r="R16" s="56">
        <f t="shared" si="1"/>
        <v>6.862624659471839</v>
      </c>
      <c r="S16" s="8">
        <v>1845705</v>
      </c>
      <c r="T16" s="8">
        <v>4015000</v>
      </c>
      <c r="U16" s="8">
        <v>6130445</v>
      </c>
      <c r="V16" s="8">
        <v>6840000</v>
      </c>
      <c r="W16" s="8">
        <v>4000000</v>
      </c>
      <c r="X16" s="56">
        <f>V16/(W16/1000)</f>
        <v>1710</v>
      </c>
      <c r="Y16" s="165"/>
      <c r="Z16" s="165"/>
      <c r="AA16" s="165"/>
      <c r="AB16" s="150"/>
      <c r="AC16" s="150"/>
      <c r="AD16" s="150"/>
      <c r="AE16" s="150"/>
      <c r="AF16" s="150"/>
      <c r="AG16" s="150"/>
      <c r="AH16" s="132"/>
      <c r="AI16" s="111"/>
    </row>
    <row r="17" spans="1:35" ht="27.75" customHeight="1" thickBot="1">
      <c r="A17" s="163"/>
      <c r="B17" s="26" t="s">
        <v>31</v>
      </c>
      <c r="C17" s="26"/>
      <c r="D17" s="26"/>
      <c r="E17" s="26">
        <f>E16/E15*100</f>
        <v>41.784</v>
      </c>
      <c r="F17" s="26"/>
      <c r="G17" s="26">
        <f>G16/G15*100</f>
        <v>55.53602577826119</v>
      </c>
      <c r="H17" s="26"/>
      <c r="I17" s="26">
        <f>I16/I15*100</f>
        <v>29.53785794358855</v>
      </c>
      <c r="J17" s="26"/>
      <c r="K17" s="26">
        <f>K16/K15*100</f>
        <v>46.675115982148526</v>
      </c>
      <c r="L17" s="26">
        <f>L16/L15*100</f>
        <v>51.02909193070998</v>
      </c>
      <c r="M17" s="47"/>
      <c r="N17" s="47"/>
      <c r="O17" s="26">
        <f>O16/O15*100</f>
        <v>48.72011436153409</v>
      </c>
      <c r="P17" s="26"/>
      <c r="Q17" s="73"/>
      <c r="R17" s="73">
        <f t="shared" si="1"/>
        <v>0</v>
      </c>
      <c r="S17" s="26">
        <f>S16/S15*100</f>
        <v>50.532662705725585</v>
      </c>
      <c r="T17" s="26">
        <f>T16/T15*100</f>
        <v>49.12600373357628</v>
      </c>
      <c r="U17" s="26">
        <f>U16/U15*100</f>
        <v>52.28351505297735</v>
      </c>
      <c r="V17" s="26">
        <f>V16/V15*100</f>
        <v>48.67658055845986</v>
      </c>
      <c r="W17" s="26"/>
      <c r="X17" s="73">
        <f>X16/X15*100</f>
        <v>48.67658055845986</v>
      </c>
      <c r="Y17" s="166"/>
      <c r="Z17" s="166"/>
      <c r="AA17" s="166"/>
      <c r="AB17" s="151"/>
      <c r="AC17" s="151"/>
      <c r="AD17" s="151"/>
      <c r="AE17" s="151"/>
      <c r="AF17" s="151"/>
      <c r="AG17" s="151"/>
      <c r="AH17" s="133"/>
      <c r="AI17" s="112"/>
    </row>
    <row r="18" spans="1:35" ht="27.75" customHeight="1">
      <c r="A18" s="194" t="s">
        <v>19</v>
      </c>
      <c r="B18" s="35" t="s">
        <v>17</v>
      </c>
      <c r="C18" s="27" t="s">
        <v>24</v>
      </c>
      <c r="D18" s="27" t="s">
        <v>8</v>
      </c>
      <c r="E18" s="27">
        <f>340000+25000</f>
        <v>365000</v>
      </c>
      <c r="F18" s="28">
        <f t="shared" si="0"/>
        <v>8.275342465753425</v>
      </c>
      <c r="G18" s="27">
        <f>2890000+130500</f>
        <v>3020500</v>
      </c>
      <c r="H18" s="27" t="s">
        <v>15</v>
      </c>
      <c r="I18" s="27">
        <v>114000000</v>
      </c>
      <c r="J18" s="27">
        <v>12260</v>
      </c>
      <c r="K18" s="27">
        <f t="shared" si="3"/>
        <v>1397640</v>
      </c>
      <c r="L18" s="27">
        <v>5623620</v>
      </c>
      <c r="M18" s="48" t="s">
        <v>38</v>
      </c>
      <c r="N18" s="48" t="s">
        <v>29</v>
      </c>
      <c r="O18" s="27">
        <f>343712832</f>
        <v>343712832</v>
      </c>
      <c r="P18" s="27">
        <f>O18/1000000</f>
        <v>343.712832</v>
      </c>
      <c r="Q18" s="74">
        <f>S18/P18</f>
        <v>827.7433180033267</v>
      </c>
      <c r="R18" s="74">
        <f t="shared" si="1"/>
        <v>6.751576818950463</v>
      </c>
      <c r="S18" s="27">
        <v>284506</v>
      </c>
      <c r="T18" s="27">
        <v>2067171</v>
      </c>
      <c r="U18" s="27">
        <v>3131347</v>
      </c>
      <c r="V18" s="27">
        <v>2768286</v>
      </c>
      <c r="W18" s="27">
        <v>2550000</v>
      </c>
      <c r="X18" s="74">
        <f t="shared" si="4"/>
        <v>1085.6023529411764</v>
      </c>
      <c r="Y18" s="197">
        <f>$R$25*245.8</f>
        <v>1720.6000000000001</v>
      </c>
      <c r="Z18" s="197">
        <f>S19+((P18/2)*Y18)</f>
        <v>416559.1493696</v>
      </c>
      <c r="AA18" s="197">
        <f>S18-Z18</f>
        <v>-132053.1493696</v>
      </c>
      <c r="AB18" s="152">
        <f>AA18/(W18/1000)</f>
        <v>-51.785548772392154</v>
      </c>
      <c r="AC18" s="152">
        <f>(I19*(24580-J19))/1000000</f>
        <v>388801.3035</v>
      </c>
      <c r="AD18" s="152">
        <f>AC18/(W18/1000)</f>
        <v>152.4710994117647</v>
      </c>
      <c r="AE18" s="152">
        <f>AD18+AB18</f>
        <v>100.68555063937254</v>
      </c>
      <c r="AF18" s="152">
        <f>(AE18/X18)*100</f>
        <v>9.274625314378644</v>
      </c>
      <c r="AG18" s="152">
        <v>7815</v>
      </c>
      <c r="AH18" s="134">
        <f>AG18/X18</f>
        <v>7.1987684798463745</v>
      </c>
      <c r="AI18" s="113">
        <f>AG18/(X18*(1+(AF18/100)))</f>
        <v>6.5877768595735855</v>
      </c>
    </row>
    <row r="19" spans="1:35" ht="27.75" customHeight="1">
      <c r="A19" s="195"/>
      <c r="B19" s="10" t="s">
        <v>13</v>
      </c>
      <c r="C19" s="10" t="s">
        <v>24</v>
      </c>
      <c r="D19" s="10" t="s">
        <v>8</v>
      </c>
      <c r="E19" s="10">
        <f>223496+20968</f>
        <v>244464</v>
      </c>
      <c r="F19" s="11">
        <f t="shared" si="0"/>
        <v>8.230684272530924</v>
      </c>
      <c r="G19" s="10">
        <f>1902581+109525</f>
        <v>2012106</v>
      </c>
      <c r="H19" s="10" t="s">
        <v>15</v>
      </c>
      <c r="I19" s="10">
        <v>93394500</v>
      </c>
      <c r="J19" s="10">
        <v>20417</v>
      </c>
      <c r="K19" s="10">
        <f t="shared" si="3"/>
        <v>1906835.5065</v>
      </c>
      <c r="L19" s="10">
        <v>3412078</v>
      </c>
      <c r="M19" s="49" t="s">
        <v>38</v>
      </c>
      <c r="N19" s="49" t="s">
        <v>29</v>
      </c>
      <c r="O19" s="10">
        <f>172661000</f>
        <v>172661000</v>
      </c>
      <c r="P19" s="10">
        <f>O19/1000000</f>
        <v>172.661</v>
      </c>
      <c r="Q19" s="57">
        <f>S19/P19</f>
        <v>700.0017375087599</v>
      </c>
      <c r="R19" s="57">
        <f t="shared" si="1"/>
        <v>5.709638968260684</v>
      </c>
      <c r="S19" s="10">
        <v>120863</v>
      </c>
      <c r="T19" s="10">
        <v>1103748</v>
      </c>
      <c r="U19" s="10">
        <v>2083025</v>
      </c>
      <c r="V19" s="10">
        <v>1904699</v>
      </c>
      <c r="W19" s="10">
        <v>2550000</v>
      </c>
      <c r="X19" s="57">
        <f t="shared" si="4"/>
        <v>746.9407843137255</v>
      </c>
      <c r="Y19" s="198"/>
      <c r="Z19" s="198"/>
      <c r="AA19" s="198"/>
      <c r="AB19" s="153"/>
      <c r="AC19" s="153"/>
      <c r="AD19" s="153"/>
      <c r="AE19" s="153"/>
      <c r="AF19" s="153"/>
      <c r="AG19" s="153"/>
      <c r="AH19" s="135"/>
      <c r="AI19" s="114"/>
    </row>
    <row r="20" spans="1:35" ht="27.75" customHeight="1" thickBot="1">
      <c r="A20" s="196"/>
      <c r="B20" s="29" t="s">
        <v>31</v>
      </c>
      <c r="C20" s="29"/>
      <c r="D20" s="29"/>
      <c r="E20" s="29">
        <f>E19/E18*100</f>
        <v>66.97643835616438</v>
      </c>
      <c r="F20" s="29"/>
      <c r="G20" s="29">
        <f>G19/G18*100</f>
        <v>66.61499751696739</v>
      </c>
      <c r="H20" s="29"/>
      <c r="I20" s="29">
        <f>I19/I18*100</f>
        <v>81.925</v>
      </c>
      <c r="J20" s="29"/>
      <c r="K20" s="29">
        <f>K19/K18*100</f>
        <v>136.43252243066883</v>
      </c>
      <c r="L20" s="29">
        <f>L19/L18*100</f>
        <v>60.674049811331486</v>
      </c>
      <c r="M20" s="50"/>
      <c r="N20" s="50"/>
      <c r="O20" s="29">
        <f>O19/O18*100</f>
        <v>50.23408611058199</v>
      </c>
      <c r="P20" s="29"/>
      <c r="Q20" s="75"/>
      <c r="R20" s="75">
        <f t="shared" si="1"/>
        <v>0</v>
      </c>
      <c r="S20" s="29">
        <f>S19/S18*100</f>
        <v>42.48170513099899</v>
      </c>
      <c r="T20" s="29">
        <f>T19/T18*100</f>
        <v>53.39413139986968</v>
      </c>
      <c r="U20" s="29">
        <f>U19/U18*100</f>
        <v>66.5216917831208</v>
      </c>
      <c r="V20" s="29">
        <f>V19/V18*100</f>
        <v>68.8042709459933</v>
      </c>
      <c r="W20" s="29"/>
      <c r="X20" s="75">
        <f>X19/X18*100</f>
        <v>68.80427094599331</v>
      </c>
      <c r="Y20" s="199"/>
      <c r="Z20" s="199"/>
      <c r="AA20" s="199"/>
      <c r="AB20" s="154"/>
      <c r="AC20" s="154"/>
      <c r="AD20" s="154"/>
      <c r="AE20" s="154"/>
      <c r="AF20" s="154"/>
      <c r="AG20" s="154"/>
      <c r="AH20" s="136"/>
      <c r="AI20" s="115"/>
    </row>
    <row r="21" spans="1:35" ht="30">
      <c r="A21" s="200" t="s">
        <v>21</v>
      </c>
      <c r="B21" s="77" t="s">
        <v>17</v>
      </c>
      <c r="C21" s="78" t="s">
        <v>24</v>
      </c>
      <c r="D21" s="78" t="s">
        <v>8</v>
      </c>
      <c r="E21" s="78">
        <v>660000</v>
      </c>
      <c r="F21" s="79">
        <f t="shared" si="0"/>
        <v>5.799543939393939</v>
      </c>
      <c r="G21" s="78">
        <v>3827699</v>
      </c>
      <c r="H21" s="78" t="s">
        <v>15</v>
      </c>
      <c r="I21" s="78">
        <v>133765008</v>
      </c>
      <c r="J21" s="78">
        <v>12260</v>
      </c>
      <c r="K21" s="78">
        <f t="shared" si="3"/>
        <v>1639958.99808</v>
      </c>
      <c r="L21" s="78">
        <v>3879706</v>
      </c>
      <c r="M21" s="80" t="s">
        <v>40</v>
      </c>
      <c r="N21" s="80" t="s">
        <v>29</v>
      </c>
      <c r="O21" s="78">
        <f>(278905273+247738676)</f>
        <v>526643949</v>
      </c>
      <c r="P21" s="78">
        <f>O21/1000000</f>
        <v>526.643949</v>
      </c>
      <c r="Q21" s="81">
        <f>S21/P21</f>
        <v>849.4030945374063</v>
      </c>
      <c r="R21" s="81">
        <f t="shared" si="1"/>
        <v>6.928247100631372</v>
      </c>
      <c r="S21" s="78">
        <f>234280+213053</f>
        <v>447333</v>
      </c>
      <c r="T21" s="78">
        <v>1256411</v>
      </c>
      <c r="U21" s="78">
        <v>2481759</v>
      </c>
      <c r="V21" s="78">
        <v>2293231</v>
      </c>
      <c r="W21" s="78">
        <v>1764600</v>
      </c>
      <c r="X21" s="81">
        <f t="shared" si="4"/>
        <v>1299.5755411991386</v>
      </c>
      <c r="Y21" s="203">
        <f>$R$25*245.8</f>
        <v>1720.6000000000001</v>
      </c>
      <c r="Z21" s="203">
        <f>S22+((P21/2)*Y21)</f>
        <v>635791.7893247001</v>
      </c>
      <c r="AA21" s="206">
        <f>S21-Z21</f>
        <v>-188458.78932470013</v>
      </c>
      <c r="AB21" s="155">
        <f>AA21/(W21/1000)</f>
        <v>-106.79972193397946</v>
      </c>
      <c r="AC21" s="155">
        <f>((I22*(24580-J22))+(I23*(6692-J23)))/1000000</f>
        <v>545118.825976</v>
      </c>
      <c r="AD21" s="155">
        <f>AC21/(W21/1000)</f>
        <v>308.919203205259</v>
      </c>
      <c r="AE21" s="155">
        <f>AD21+AB21</f>
        <v>202.11948127127954</v>
      </c>
      <c r="AF21" s="155">
        <f>(AE21/X21)*100</f>
        <v>15.5527304772742</v>
      </c>
      <c r="AG21" s="155">
        <v>9375</v>
      </c>
      <c r="AH21" s="95">
        <f>AG21/X21</f>
        <v>7.213893846716707</v>
      </c>
      <c r="AI21" s="116">
        <f>AG21/(X21*(1+(AF21/100)))</f>
        <v>6.24294537820157</v>
      </c>
    </row>
    <row r="22" spans="1:35" ht="27.75" customHeight="1">
      <c r="A22" s="201"/>
      <c r="B22" s="82" t="s">
        <v>13</v>
      </c>
      <c r="C22" s="82" t="s">
        <v>24</v>
      </c>
      <c r="D22" s="82" t="s">
        <v>8</v>
      </c>
      <c r="E22" s="82">
        <v>358391</v>
      </c>
      <c r="F22" s="83">
        <f t="shared" si="0"/>
        <v>5.694459403277426</v>
      </c>
      <c r="G22" s="82">
        <v>2040843</v>
      </c>
      <c r="H22" s="82" t="s">
        <v>15</v>
      </c>
      <c r="I22" s="82">
        <v>16358210</v>
      </c>
      <c r="J22" s="82">
        <v>16312</v>
      </c>
      <c r="K22" s="82">
        <f t="shared" si="3"/>
        <v>266835.12152</v>
      </c>
      <c r="L22" s="82">
        <v>2066522</v>
      </c>
      <c r="M22" s="84" t="s">
        <v>41</v>
      </c>
      <c r="N22" s="84" t="s">
        <v>29</v>
      </c>
      <c r="O22" s="82">
        <f>(152844350+106122368)</f>
        <v>258966718</v>
      </c>
      <c r="P22" s="82">
        <f>O22/1000000</f>
        <v>258.966718</v>
      </c>
      <c r="Q22" s="85">
        <f>S22/P22</f>
        <v>705.5732930128883</v>
      </c>
      <c r="R22" s="85">
        <f t="shared" si="1"/>
        <v>5.755083956059448</v>
      </c>
      <c r="S22" s="82">
        <f>106991+75729</f>
        <v>182720</v>
      </c>
      <c r="T22" s="82">
        <v>534264</v>
      </c>
      <c r="U22" s="82">
        <v>1557630</v>
      </c>
      <c r="V22" s="82">
        <v>1647785</v>
      </c>
      <c r="W22" s="82">
        <v>1764600</v>
      </c>
      <c r="X22" s="85">
        <f t="shared" si="4"/>
        <v>933.8008613850164</v>
      </c>
      <c r="Y22" s="204"/>
      <c r="Z22" s="204"/>
      <c r="AA22" s="207"/>
      <c r="AB22" s="156"/>
      <c r="AC22" s="156"/>
      <c r="AD22" s="156"/>
      <c r="AE22" s="156"/>
      <c r="AF22" s="156"/>
      <c r="AG22" s="156"/>
      <c r="AH22" s="96"/>
      <c r="AI22" s="117"/>
    </row>
    <row r="23" spans="1:35" ht="27.75" customHeight="1">
      <c r="A23" s="201"/>
      <c r="B23" s="82" t="s">
        <v>13</v>
      </c>
      <c r="C23" s="82"/>
      <c r="D23" s="82"/>
      <c r="E23" s="82"/>
      <c r="F23" s="83"/>
      <c r="G23" s="82"/>
      <c r="H23" s="82" t="s">
        <v>32</v>
      </c>
      <c r="I23" s="82">
        <v>216403984</v>
      </c>
      <c r="J23" s="82">
        <v>4798</v>
      </c>
      <c r="K23" s="82">
        <f t="shared" si="3"/>
        <v>1038306.315232</v>
      </c>
      <c r="L23" s="82"/>
      <c r="M23" s="84"/>
      <c r="N23" s="84"/>
      <c r="O23" s="82"/>
      <c r="P23" s="82"/>
      <c r="Q23" s="85"/>
      <c r="R23" s="85">
        <f t="shared" si="1"/>
        <v>0</v>
      </c>
      <c r="S23" s="82"/>
      <c r="T23" s="82"/>
      <c r="U23" s="82"/>
      <c r="V23" s="82"/>
      <c r="W23" s="82"/>
      <c r="X23" s="85"/>
      <c r="Y23" s="204"/>
      <c r="Z23" s="204"/>
      <c r="AA23" s="207"/>
      <c r="AB23" s="156"/>
      <c r="AC23" s="156"/>
      <c r="AD23" s="156"/>
      <c r="AE23" s="156"/>
      <c r="AF23" s="156"/>
      <c r="AG23" s="156"/>
      <c r="AH23" s="96"/>
      <c r="AI23" s="117"/>
    </row>
    <row r="24" spans="1:35" ht="27.75" customHeight="1" thickBot="1">
      <c r="A24" s="202"/>
      <c r="B24" s="86" t="s">
        <v>31</v>
      </c>
      <c r="C24" s="86"/>
      <c r="D24" s="86"/>
      <c r="E24" s="86">
        <f>E22/E21*100</f>
        <v>54.30166666666667</v>
      </c>
      <c r="F24" s="86"/>
      <c r="G24" s="86">
        <f>G22/G21*100</f>
        <v>53.317750429174296</v>
      </c>
      <c r="H24" s="86"/>
      <c r="I24" s="86"/>
      <c r="J24" s="86"/>
      <c r="K24" s="86">
        <f>(K22+K23)/K21*100</f>
        <v>79.58378461168898</v>
      </c>
      <c r="L24" s="86">
        <f>L22/L21*100</f>
        <v>53.26491234129597</v>
      </c>
      <c r="M24" s="87"/>
      <c r="N24" s="87"/>
      <c r="O24" s="86">
        <f>O22/O21*100</f>
        <v>49.17301689153178</v>
      </c>
      <c r="P24" s="86"/>
      <c r="Q24" s="88"/>
      <c r="R24" s="88">
        <f t="shared" si="1"/>
        <v>0</v>
      </c>
      <c r="S24" s="86">
        <f>S22/S21*100</f>
        <v>40.84652820158584</v>
      </c>
      <c r="T24" s="86">
        <f>T22/T21*100</f>
        <v>42.52302789453451</v>
      </c>
      <c r="U24" s="86">
        <f>U22/U21*100</f>
        <v>62.76314501126016</v>
      </c>
      <c r="V24" s="86">
        <f>V22/V21*100</f>
        <v>71.8542964053774</v>
      </c>
      <c r="W24" s="86"/>
      <c r="X24" s="88">
        <f>X22/X21*100</f>
        <v>71.8542964053774</v>
      </c>
      <c r="Y24" s="205"/>
      <c r="Z24" s="205"/>
      <c r="AA24" s="208"/>
      <c r="AB24" s="157"/>
      <c r="AC24" s="157"/>
      <c r="AD24" s="157"/>
      <c r="AE24" s="157"/>
      <c r="AF24" s="157"/>
      <c r="AG24" s="157"/>
      <c r="AH24" s="97"/>
      <c r="AI24" s="118"/>
    </row>
    <row r="25" spans="1:35" ht="22.5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2"/>
      <c r="R25" s="209">
        <v>7</v>
      </c>
      <c r="S25" s="91"/>
      <c r="T25" s="91"/>
      <c r="U25" s="91"/>
      <c r="V25" s="91"/>
      <c r="W25" s="91"/>
      <c r="X25" s="91"/>
      <c r="Y25" s="91"/>
      <c r="Z25" s="91"/>
      <c r="AA25" s="91"/>
      <c r="AB25" s="92"/>
      <c r="AC25" s="92"/>
      <c r="AD25" s="92"/>
      <c r="AE25" s="92"/>
      <c r="AF25" s="92"/>
      <c r="AG25" s="92"/>
      <c r="AH25" s="210"/>
      <c r="AI25" s="211"/>
    </row>
    <row r="26" spans="1:35" ht="32.25" customHeight="1">
      <c r="A26" s="158" t="s">
        <v>63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</row>
    <row r="29" ht="22.5">
      <c r="R29" s="1" t="s">
        <v>62</v>
      </c>
    </row>
  </sheetData>
  <sheetProtection/>
  <mergeCells count="86">
    <mergeCell ref="AC15:AC17"/>
    <mergeCell ref="AC18:AC20"/>
    <mergeCell ref="AD18:AD20"/>
    <mergeCell ref="AD21:AD24"/>
    <mergeCell ref="AC3:AC5"/>
    <mergeCell ref="AC6:AC8"/>
    <mergeCell ref="AC21:AC24"/>
    <mergeCell ref="AE21:AE24"/>
    <mergeCell ref="AE18:AE20"/>
    <mergeCell ref="AE15:AE17"/>
    <mergeCell ref="AE12:AE14"/>
    <mergeCell ref="AE9:AE11"/>
    <mergeCell ref="AC9:AC11"/>
    <mergeCell ref="AC12:AC14"/>
    <mergeCell ref="A21:A24"/>
    <mergeCell ref="Y21:Y24"/>
    <mergeCell ref="Z21:Z24"/>
    <mergeCell ref="AA21:AA24"/>
    <mergeCell ref="AB21:AB24"/>
    <mergeCell ref="AD3:AD5"/>
    <mergeCell ref="AD6:AD8"/>
    <mergeCell ref="AD9:AD11"/>
    <mergeCell ref="AD12:AD14"/>
    <mergeCell ref="AD15:AD17"/>
    <mergeCell ref="AB15:AB17"/>
    <mergeCell ref="A18:A20"/>
    <mergeCell ref="Y18:Y20"/>
    <mergeCell ref="Z18:Z20"/>
    <mergeCell ref="AA18:AA20"/>
    <mergeCell ref="AB18:AB20"/>
    <mergeCell ref="AB9:AB11"/>
    <mergeCell ref="A12:A14"/>
    <mergeCell ref="Y12:Y14"/>
    <mergeCell ref="Z12:Z14"/>
    <mergeCell ref="AA12:AA14"/>
    <mergeCell ref="AB12:AB14"/>
    <mergeCell ref="A1:AI1"/>
    <mergeCell ref="A6:A8"/>
    <mergeCell ref="Y6:Y8"/>
    <mergeCell ref="Z6:Z8"/>
    <mergeCell ref="AA6:AA8"/>
    <mergeCell ref="AB6:AB8"/>
    <mergeCell ref="AE6:AE8"/>
    <mergeCell ref="AE3:AE5"/>
    <mergeCell ref="AF6:AF8"/>
    <mergeCell ref="AF3:AF5"/>
    <mergeCell ref="AF9:AF11"/>
    <mergeCell ref="A3:A5"/>
    <mergeCell ref="Y3:Y5"/>
    <mergeCell ref="Z3:Z5"/>
    <mergeCell ref="AA3:AA5"/>
    <mergeCell ref="AB3:AB5"/>
    <mergeCell ref="A9:A11"/>
    <mergeCell ref="Y9:Y11"/>
    <mergeCell ref="Z9:Z11"/>
    <mergeCell ref="AA9:AA11"/>
    <mergeCell ref="AG21:AG24"/>
    <mergeCell ref="A26:AI26"/>
    <mergeCell ref="AF21:AF24"/>
    <mergeCell ref="AF18:AF20"/>
    <mergeCell ref="AF15:AF17"/>
    <mergeCell ref="AF12:AF14"/>
    <mergeCell ref="A15:A17"/>
    <mergeCell ref="Y15:Y17"/>
    <mergeCell ref="Z15:Z17"/>
    <mergeCell ref="AA15:AA17"/>
    <mergeCell ref="AH9:AH11"/>
    <mergeCell ref="AH12:AH14"/>
    <mergeCell ref="AH15:AH17"/>
    <mergeCell ref="AH18:AH20"/>
    <mergeCell ref="AG3:AG5"/>
    <mergeCell ref="AG6:AG8"/>
    <mergeCell ref="AG9:AG11"/>
    <mergeCell ref="AG12:AG14"/>
    <mergeCell ref="AG15:AG17"/>
    <mergeCell ref="AG18:AG20"/>
    <mergeCell ref="AH21:AH24"/>
    <mergeCell ref="AI3:AI5"/>
    <mergeCell ref="AI6:AI8"/>
    <mergeCell ref="AI9:AI11"/>
    <mergeCell ref="AI12:AI14"/>
    <mergeCell ref="AI15:AI17"/>
    <mergeCell ref="AI18:AI20"/>
    <mergeCell ref="AI21:AI24"/>
    <mergeCell ref="AH3:AH5"/>
    <mergeCell ref="AH6:AH8"/>
  </mergeCells>
  <printOptions/>
  <pageMargins left="0" right="0" top="0" bottom="0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a.talefard</dc:creator>
  <cp:keywords/>
  <dc:description/>
  <cp:lastModifiedBy>a.talefard</cp:lastModifiedBy>
  <cp:lastPrinted>2012-12-31T05:44:02Z</cp:lastPrinted>
  <dcterms:created xsi:type="dcterms:W3CDTF">2012-12-30T06:29:48Z</dcterms:created>
  <dcterms:modified xsi:type="dcterms:W3CDTF">2012-12-31T11:08:43Z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1065</vt:i4>
  </property>
</Properties>
</file>